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 firstSheet="2" activeTab="2"/>
  </bookViews>
  <sheets>
    <sheet name="Функц. 2025-2027" sheetId="7" state="hidden" r:id="rId1"/>
    <sheet name="Целевые 2025-2027" sheetId="9" state="hidden" r:id="rId2"/>
    <sheet name="Р., Пр.2025-2027" sheetId="10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2025-2027'!$H$2:$AF$1125</definedName>
    <definedName name="_xlnm.Print_Area" localSheetId="2">'Р., Пр.2025-2027'!$A$1:$F$63</definedName>
    <definedName name="_xlnm.Print_Area" localSheetId="0">'Функц. 2025-2027'!$A$1:$K$983</definedName>
    <definedName name="_xlnm.Print_Area" localSheetId="1">'Целевые 2025-2027'!$A$1:$H$800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E1004" i="2" l="1"/>
  <c r="AD600" i="2" l="1"/>
  <c r="G432" i="7"/>
  <c r="AE926" i="2"/>
  <c r="AD929" i="2"/>
  <c r="AE970" i="2" l="1"/>
  <c r="AE1007" i="2"/>
  <c r="AD952" i="2" l="1"/>
  <c r="G455" i="7" l="1"/>
  <c r="G426" i="7"/>
  <c r="K426" i="7"/>
  <c r="H429" i="7"/>
  <c r="H428" i="7" s="1"/>
  <c r="H427" i="7" s="1"/>
  <c r="H426" i="7" s="1"/>
  <c r="J429" i="7"/>
  <c r="J428" i="7" s="1"/>
  <c r="J427" i="7" s="1"/>
  <c r="J426" i="7" s="1"/>
  <c r="I428" i="7"/>
  <c r="I427" i="7" s="1"/>
  <c r="I426" i="7" s="1"/>
  <c r="F429" i="7"/>
  <c r="D393" i="9" s="1"/>
  <c r="D392" i="9" s="1"/>
  <c r="D391" i="9" s="1"/>
  <c r="D390" i="9" s="1"/>
  <c r="AF925" i="2"/>
  <c r="AF924" i="2" s="1"/>
  <c r="AF923" i="2" s="1"/>
  <c r="AE925" i="2"/>
  <c r="AE924" i="2" s="1"/>
  <c r="AE923" i="2" s="1"/>
  <c r="AD925" i="2"/>
  <c r="AD924" i="2" s="1"/>
  <c r="AD923" i="2" s="1"/>
  <c r="F428" i="7" l="1"/>
  <c r="F427" i="7" s="1"/>
  <c r="F426" i="7" s="1"/>
  <c r="F393" i="9"/>
  <c r="F392" i="9" s="1"/>
  <c r="F391" i="9" s="1"/>
  <c r="F390" i="9" s="1"/>
  <c r="E393" i="9"/>
  <c r="E392" i="9" s="1"/>
  <c r="E391" i="9" s="1"/>
  <c r="E390" i="9" s="1"/>
  <c r="I481" i="7"/>
  <c r="I480" i="7" s="1"/>
  <c r="I479" i="7" s="1"/>
  <c r="I478" i="7" s="1"/>
  <c r="I477" i="7" s="1"/>
  <c r="AD864" i="2" l="1"/>
  <c r="AD900" i="2"/>
  <c r="AD1001" i="2"/>
  <c r="AD711" i="2"/>
  <c r="AD43" i="2"/>
  <c r="AD428" i="2" l="1"/>
  <c r="J807" i="7"/>
  <c r="H807" i="7"/>
  <c r="F807" i="7"/>
  <c r="AF823" i="2"/>
  <c r="AF822" i="2" s="1"/>
  <c r="AE823" i="2"/>
  <c r="AE822" i="2" s="1"/>
  <c r="AD823" i="2"/>
  <c r="AD822" i="2" s="1"/>
  <c r="G815" i="7"/>
  <c r="G818" i="7"/>
  <c r="G811" i="7"/>
  <c r="AD828" i="2"/>
  <c r="AD831" i="2"/>
  <c r="AD409" i="2"/>
  <c r="AE900" i="2" l="1"/>
  <c r="AD977" i="2"/>
  <c r="AD648" i="2"/>
  <c r="AD713" i="2"/>
  <c r="AD684" i="2"/>
  <c r="AD532" i="2"/>
  <c r="AD708" i="2" l="1"/>
  <c r="AD560" i="2"/>
  <c r="J165" i="7"/>
  <c r="J164" i="7" s="1"/>
  <c r="J162" i="7" s="1"/>
  <c r="H165" i="7"/>
  <c r="H164" i="7" s="1"/>
  <c r="H162" i="7" s="1"/>
  <c r="F165" i="7"/>
  <c r="F164" i="7" s="1"/>
  <c r="F162" i="7" s="1"/>
  <c r="AE869" i="2"/>
  <c r="AE868" i="2" s="1"/>
  <c r="AE867" i="2" s="1"/>
  <c r="AE866" i="2" s="1"/>
  <c r="AE865" i="2" s="1"/>
  <c r="AF869" i="2"/>
  <c r="AF868" i="2" s="1"/>
  <c r="AF867" i="2" s="1"/>
  <c r="AF866" i="2" s="1"/>
  <c r="AF865" i="2" s="1"/>
  <c r="AD869" i="2"/>
  <c r="AD868" i="2" s="1"/>
  <c r="AD867" i="2" s="1"/>
  <c r="AD866" i="2" s="1"/>
  <c r="AD865" i="2" s="1"/>
  <c r="AD150" i="2"/>
  <c r="J462" i="7"/>
  <c r="F426" i="9" s="1"/>
  <c r="F425" i="9" s="1"/>
  <c r="F424" i="9" s="1"/>
  <c r="F423" i="9" s="1"/>
  <c r="H462" i="7"/>
  <c r="E426" i="9" s="1"/>
  <c r="E425" i="9" s="1"/>
  <c r="E424" i="9" s="1"/>
  <c r="E423" i="9" s="1"/>
  <c r="F462" i="7"/>
  <c r="D426" i="9" s="1"/>
  <c r="D425" i="9" s="1"/>
  <c r="D424" i="9" s="1"/>
  <c r="D423" i="9" s="1"/>
  <c r="AE958" i="2"/>
  <c r="AE957" i="2" s="1"/>
  <c r="AE956" i="2" s="1"/>
  <c r="AF958" i="2"/>
  <c r="AF957" i="2" s="1"/>
  <c r="AF956" i="2" s="1"/>
  <c r="AD958" i="2"/>
  <c r="AD957" i="2" s="1"/>
  <c r="AD956" i="2" s="1"/>
  <c r="AD887" i="2"/>
  <c r="J345" i="7"/>
  <c r="J344" i="7" s="1"/>
  <c r="J343" i="7" s="1"/>
  <c r="J342" i="7" s="1"/>
  <c r="H345" i="7"/>
  <c r="H344" i="7" s="1"/>
  <c r="H343" i="7" s="1"/>
  <c r="H342" i="7" s="1"/>
  <c r="F345" i="7"/>
  <c r="F344" i="7" s="1"/>
  <c r="F343" i="7" s="1"/>
  <c r="F342" i="7" s="1"/>
  <c r="AE890" i="2"/>
  <c r="AE889" i="2" s="1"/>
  <c r="AE888" i="2" s="1"/>
  <c r="AF890" i="2"/>
  <c r="AF889" i="2" s="1"/>
  <c r="AF888" i="2" s="1"/>
  <c r="AD890" i="2"/>
  <c r="AD889" i="2" s="1"/>
  <c r="AD888" i="2" s="1"/>
  <c r="F163" i="7" l="1"/>
  <c r="J163" i="7"/>
  <c r="H163" i="7"/>
  <c r="F461" i="7"/>
  <c r="F460" i="7" s="1"/>
  <c r="F459" i="7" s="1"/>
  <c r="J461" i="7"/>
  <c r="J460" i="7" s="1"/>
  <c r="J459" i="7" s="1"/>
  <c r="H461" i="7"/>
  <c r="H460" i="7" s="1"/>
  <c r="H459" i="7" s="1"/>
  <c r="F606" i="9"/>
  <c r="F605" i="9" s="1"/>
  <c r="F604" i="9" s="1"/>
  <c r="F603" i="9" s="1"/>
  <c r="D606" i="9"/>
  <c r="D605" i="9" s="1"/>
  <c r="D604" i="9" s="1"/>
  <c r="D603" i="9" s="1"/>
  <c r="E606" i="9"/>
  <c r="E605" i="9" s="1"/>
  <c r="E604" i="9" s="1"/>
  <c r="E603" i="9" s="1"/>
  <c r="AD314" i="2" l="1"/>
  <c r="J805" i="7" l="1"/>
  <c r="J804" i="7" s="1"/>
  <c r="H805" i="7"/>
  <c r="H804" i="7" s="1"/>
  <c r="F805" i="7"/>
  <c r="D214" i="9" s="1"/>
  <c r="D213" i="9" s="1"/>
  <c r="AE404" i="2"/>
  <c r="AE403" i="2" s="1"/>
  <c r="AF404" i="2"/>
  <c r="AF403" i="2" s="1"/>
  <c r="AD404" i="2"/>
  <c r="AD403" i="2" s="1"/>
  <c r="J556" i="7"/>
  <c r="J555" i="7" s="1"/>
  <c r="J554" i="7" s="1"/>
  <c r="H556" i="7"/>
  <c r="H555" i="7" s="1"/>
  <c r="H554" i="7" s="1"/>
  <c r="F556" i="7"/>
  <c r="D694" i="9" s="1"/>
  <c r="D693" i="9" s="1"/>
  <c r="D692" i="9" s="1"/>
  <c r="AE347" i="2"/>
  <c r="AE346" i="2" s="1"/>
  <c r="AF347" i="2"/>
  <c r="AF346" i="2" s="1"/>
  <c r="AD347" i="2"/>
  <c r="AD346" i="2" s="1"/>
  <c r="AD252" i="2"/>
  <c r="F804" i="7" l="1"/>
  <c r="E214" i="9"/>
  <c r="E213" i="9" s="1"/>
  <c r="F214" i="9"/>
  <c r="F213" i="9" s="1"/>
  <c r="F694" i="9"/>
  <c r="F693" i="9" s="1"/>
  <c r="F692" i="9" s="1"/>
  <c r="E694" i="9"/>
  <c r="E693" i="9" s="1"/>
  <c r="E692" i="9" s="1"/>
  <c r="F555" i="7"/>
  <c r="F554" i="7" s="1"/>
  <c r="AD238" i="2"/>
  <c r="AD449" i="2"/>
  <c r="AD291" i="2"/>
  <c r="AD461" i="2"/>
  <c r="AD55" i="2"/>
  <c r="AD245" i="2"/>
  <c r="AD207" i="2"/>
  <c r="AD122" i="2"/>
  <c r="AD61" i="2"/>
  <c r="AD617" i="2"/>
  <c r="AD619" i="2"/>
  <c r="AD105" i="2"/>
  <c r="AD739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776" i="2"/>
  <c r="AD775" i="2" s="1"/>
  <c r="AF776" i="2"/>
  <c r="AF775" i="2" s="1"/>
  <c r="AE776" i="2"/>
  <c r="AE775" i="2" s="1"/>
  <c r="AD725" i="2"/>
  <c r="AD693" i="2"/>
  <c r="AD716" i="2"/>
  <c r="AD774" i="2"/>
  <c r="AD687" i="2"/>
  <c r="F740" i="7" l="1"/>
  <c r="F739" i="7" s="1"/>
  <c r="J799" i="7"/>
  <c r="J798" i="7" s="1"/>
  <c r="H799" i="7"/>
  <c r="H798" i="7" s="1"/>
  <c r="F799" i="7"/>
  <c r="F798" i="7" s="1"/>
  <c r="AE817" i="2"/>
  <c r="AF817" i="2"/>
  <c r="AD817" i="2"/>
  <c r="AD816" i="2"/>
  <c r="F203" i="9" l="1"/>
  <c r="F202" i="9" s="1"/>
  <c r="D203" i="9"/>
  <c r="D202" i="9" s="1"/>
  <c r="E203" i="9"/>
  <c r="E202" i="9" s="1"/>
  <c r="H396" i="7"/>
  <c r="H395" i="7" s="1"/>
  <c r="H394" i="7" s="1"/>
  <c r="H393" i="7" s="1"/>
  <c r="H392" i="7" s="1"/>
  <c r="H391" i="7" s="1"/>
  <c r="J396" i="7"/>
  <c r="J395" i="7" s="1"/>
  <c r="J394" i="7" s="1"/>
  <c r="J393" i="7" s="1"/>
  <c r="J392" i="7" s="1"/>
  <c r="J391" i="7" s="1"/>
  <c r="F396" i="7"/>
  <c r="F395" i="7" s="1"/>
  <c r="F394" i="7" s="1"/>
  <c r="F393" i="7" s="1"/>
  <c r="F392" i="7" s="1"/>
  <c r="F391" i="7" s="1"/>
  <c r="AE282" i="2"/>
  <c r="AE281" i="2" s="1"/>
  <c r="AE280" i="2" s="1"/>
  <c r="AE279" i="2" s="1"/>
  <c r="AE278" i="2" s="1"/>
  <c r="AF282" i="2"/>
  <c r="AF281" i="2" s="1"/>
  <c r="AF280" i="2" s="1"/>
  <c r="AF279" i="2" s="1"/>
  <c r="AF278" i="2" s="1"/>
  <c r="AD282" i="2"/>
  <c r="AD281" i="2" s="1"/>
  <c r="AD280" i="2" s="1"/>
  <c r="AD279" i="2" s="1"/>
  <c r="AD278" i="2" s="1"/>
  <c r="D440" i="9" l="1"/>
  <c r="D439" i="9" s="1"/>
  <c r="D438" i="9" s="1"/>
  <c r="D437" i="9" s="1"/>
  <c r="D436" i="9" s="1"/>
  <c r="D435" i="9" s="1"/>
  <c r="E440" i="9"/>
  <c r="E439" i="9" s="1"/>
  <c r="E438" i="9" s="1"/>
  <c r="E437" i="9" s="1"/>
  <c r="E436" i="9" s="1"/>
  <c r="E435" i="9" s="1"/>
  <c r="F440" i="9"/>
  <c r="F439" i="9" s="1"/>
  <c r="F438" i="9" s="1"/>
  <c r="F437" i="9" s="1"/>
  <c r="F436" i="9" s="1"/>
  <c r="F435" i="9" s="1"/>
  <c r="AD1007" i="2"/>
  <c r="J750" i="7"/>
  <c r="H750" i="7"/>
  <c r="AD786" i="2"/>
  <c r="F750" i="7" s="1"/>
  <c r="AD316" i="2" l="1"/>
  <c r="AD807" i="2"/>
  <c r="AD1110" i="2" l="1"/>
  <c r="AD1113" i="2"/>
  <c r="J470" i="7"/>
  <c r="H470" i="7"/>
  <c r="F470" i="7"/>
  <c r="G470" i="7" s="1"/>
  <c r="G469" i="7" s="1"/>
  <c r="G468" i="7" s="1"/>
  <c r="J503" i="7"/>
  <c r="J502" i="7" s="1"/>
  <c r="J501" i="7" s="1"/>
  <c r="J500" i="7" s="1"/>
  <c r="J499" i="7" s="1"/>
  <c r="J498" i="7" s="1"/>
  <c r="J497" i="7" s="1"/>
  <c r="H503" i="7"/>
  <c r="H502" i="7" s="1"/>
  <c r="H501" i="7" s="1"/>
  <c r="H500" i="7" s="1"/>
  <c r="H499" i="7" s="1"/>
  <c r="H498" i="7" s="1"/>
  <c r="H497" i="7" s="1"/>
  <c r="F503" i="7"/>
  <c r="F502" i="7" s="1"/>
  <c r="F501" i="7" s="1"/>
  <c r="F500" i="7" s="1"/>
  <c r="F499" i="7" s="1"/>
  <c r="F498" i="7" s="1"/>
  <c r="F497" i="7" s="1"/>
  <c r="AE324" i="2"/>
  <c r="AE323" i="2" s="1"/>
  <c r="AE322" i="2" s="1"/>
  <c r="AE321" i="2" s="1"/>
  <c r="AE320" i="2" s="1"/>
  <c r="AE319" i="2" s="1"/>
  <c r="AF324" i="2"/>
  <c r="AF323" i="2" s="1"/>
  <c r="AF322" i="2" s="1"/>
  <c r="AF321" i="2" s="1"/>
  <c r="AF320" i="2" s="1"/>
  <c r="AF319" i="2" s="1"/>
  <c r="AD324" i="2"/>
  <c r="AD323" i="2" s="1"/>
  <c r="AD322" i="2" s="1"/>
  <c r="AD321" i="2" s="1"/>
  <c r="AD320" i="2" s="1"/>
  <c r="AD319" i="2" s="1"/>
  <c r="AE303" i="2"/>
  <c r="AE302" i="2" s="1"/>
  <c r="AE301" i="2" s="1"/>
  <c r="AE300" i="2" s="1"/>
  <c r="AE299" i="2" s="1"/>
  <c r="AE298" i="2" s="1"/>
  <c r="AF303" i="2"/>
  <c r="AF302" i="2" s="1"/>
  <c r="AF301" i="2" s="1"/>
  <c r="AF300" i="2" s="1"/>
  <c r="AF299" i="2" s="1"/>
  <c r="AF298" i="2" s="1"/>
  <c r="AD303" i="2"/>
  <c r="AD302" i="2" s="1"/>
  <c r="AD301" i="2" s="1"/>
  <c r="AD300" i="2" s="1"/>
  <c r="AD299" i="2" s="1"/>
  <c r="AD298" i="2" s="1"/>
  <c r="AD385" i="2"/>
  <c r="AD191" i="2"/>
  <c r="AD138" i="2"/>
  <c r="J341" i="7"/>
  <c r="H341" i="7"/>
  <c r="F341" i="7"/>
  <c r="F340" i="7" s="1"/>
  <c r="F339" i="7" s="1"/>
  <c r="F338" i="7" s="1"/>
  <c r="AE886" i="2"/>
  <c r="AE885" i="2" s="1"/>
  <c r="AE884" i="2" s="1"/>
  <c r="AF886" i="2"/>
  <c r="AF885" i="2" s="1"/>
  <c r="AF884" i="2" s="1"/>
  <c r="AD886" i="2"/>
  <c r="AD885" i="2" s="1"/>
  <c r="AD884" i="2" s="1"/>
  <c r="J832" i="7"/>
  <c r="J831" i="7" s="1"/>
  <c r="J830" i="7" s="1"/>
  <c r="J829" i="7" s="1"/>
  <c r="J828" i="7" s="1"/>
  <c r="H832" i="7"/>
  <c r="H831" i="7" s="1"/>
  <c r="H830" i="7" s="1"/>
  <c r="H829" i="7" s="1"/>
  <c r="H828" i="7" s="1"/>
  <c r="F832" i="7"/>
  <c r="F831" i="7" s="1"/>
  <c r="F830" i="7" s="1"/>
  <c r="F829" i="7" s="1"/>
  <c r="F828" i="7" s="1"/>
  <c r="AE418" i="2"/>
  <c r="AE417" i="2" s="1"/>
  <c r="AE416" i="2" s="1"/>
  <c r="AE415" i="2" s="1"/>
  <c r="AF418" i="2"/>
  <c r="AF417" i="2" s="1"/>
  <c r="AF416" i="2" s="1"/>
  <c r="AF415" i="2" s="1"/>
  <c r="AD418" i="2"/>
  <c r="AD417" i="2" s="1"/>
  <c r="AD416" i="2" s="1"/>
  <c r="AD415" i="2" s="1"/>
  <c r="F602" i="9" l="1"/>
  <c r="F601" i="9" s="1"/>
  <c r="F600" i="9" s="1"/>
  <c r="F599" i="9" s="1"/>
  <c r="E602" i="9"/>
  <c r="E601" i="9" s="1"/>
  <c r="E600" i="9" s="1"/>
  <c r="E599" i="9" s="1"/>
  <c r="J340" i="7"/>
  <c r="J339" i="7" s="1"/>
  <c r="J338" i="7" s="1"/>
  <c r="H340" i="7"/>
  <c r="H339" i="7" s="1"/>
  <c r="H338" i="7" s="1"/>
  <c r="D602" i="9"/>
  <c r="D601" i="9" s="1"/>
  <c r="D600" i="9" s="1"/>
  <c r="D599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3" i="2"/>
  <c r="AD391" i="2"/>
  <c r="J856" i="7" l="1"/>
  <c r="J855" i="7" s="1"/>
  <c r="J854" i="7" s="1"/>
  <c r="J853" i="7" s="1"/>
  <c r="H856" i="7"/>
  <c r="H855" i="7" s="1"/>
  <c r="H854" i="7" s="1"/>
  <c r="H853" i="7" s="1"/>
  <c r="F856" i="7"/>
  <c r="F855" i="7" s="1"/>
  <c r="F854" i="7" s="1"/>
  <c r="F853" i="7" s="1"/>
  <c r="AE442" i="2"/>
  <c r="AE441" i="2" s="1"/>
  <c r="AE440" i="2" s="1"/>
  <c r="AF442" i="2"/>
  <c r="AF441" i="2" s="1"/>
  <c r="AF440" i="2" s="1"/>
  <c r="AD442" i="2"/>
  <c r="AD441" i="2" s="1"/>
  <c r="AD440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AD103" i="2"/>
  <c r="G376" i="9" l="1"/>
  <c r="H376" i="9"/>
  <c r="I376" i="9"/>
  <c r="J376" i="9"/>
  <c r="K376" i="9"/>
  <c r="L376" i="9"/>
  <c r="M376" i="9"/>
  <c r="N376" i="9"/>
  <c r="O376" i="9"/>
  <c r="P376" i="9"/>
  <c r="Q376" i="9"/>
  <c r="R376" i="9"/>
  <c r="S376" i="9"/>
  <c r="T376" i="9"/>
  <c r="U376" i="9"/>
  <c r="V376" i="9"/>
  <c r="W376" i="9"/>
  <c r="X376" i="9"/>
  <c r="Y376" i="9"/>
  <c r="Z376" i="9"/>
  <c r="AA376" i="9"/>
  <c r="AB376" i="9"/>
  <c r="AC376" i="9"/>
  <c r="AD376" i="9"/>
  <c r="J423" i="7"/>
  <c r="F387" i="9" s="1"/>
  <c r="F386" i="9" s="1"/>
  <c r="F385" i="9" s="1"/>
  <c r="F384" i="9" s="1"/>
  <c r="H423" i="7"/>
  <c r="E387" i="9" s="1"/>
  <c r="E386" i="9" s="1"/>
  <c r="E385" i="9" s="1"/>
  <c r="E384" i="9" s="1"/>
  <c r="F423" i="7"/>
  <c r="D387" i="9" s="1"/>
  <c r="D386" i="9" s="1"/>
  <c r="D385" i="9" s="1"/>
  <c r="D384" i="9" s="1"/>
  <c r="AD511" i="2"/>
  <c r="AE919" i="2"/>
  <c r="AE918" i="2" s="1"/>
  <c r="AE917" i="2" s="1"/>
  <c r="AE916" i="2" s="1"/>
  <c r="AF919" i="2"/>
  <c r="AF918" i="2" s="1"/>
  <c r="AF917" i="2" s="1"/>
  <c r="AF916" i="2" s="1"/>
  <c r="AD919" i="2"/>
  <c r="AD918" i="2" s="1"/>
  <c r="AD917" i="2" s="1"/>
  <c r="AD916" i="2" s="1"/>
  <c r="D180" i="9"/>
  <c r="D179" i="9" s="1"/>
  <c r="D178" i="9" s="1"/>
  <c r="F180" i="9"/>
  <c r="F179" i="9" s="1"/>
  <c r="F178" i="9" s="1"/>
  <c r="E180" i="9"/>
  <c r="E179" i="9" s="1"/>
  <c r="E178" i="9" s="1"/>
  <c r="H749" i="7"/>
  <c r="H748" i="7" s="1"/>
  <c r="J749" i="7"/>
  <c r="J748" i="7" s="1"/>
  <c r="F749" i="7"/>
  <c r="F748" i="7" s="1"/>
  <c r="AE785" i="2"/>
  <c r="AE784" i="2" s="1"/>
  <c r="AF785" i="2"/>
  <c r="AF784" i="2" s="1"/>
  <c r="AD785" i="2"/>
  <c r="AD784" i="2" s="1"/>
  <c r="AD790" i="2"/>
  <c r="J422" i="7" l="1"/>
  <c r="J421" i="7" s="1"/>
  <c r="J420" i="7" s="1"/>
  <c r="J419" i="7" s="1"/>
  <c r="H422" i="7"/>
  <c r="H421" i="7" s="1"/>
  <c r="H420" i="7" s="1"/>
  <c r="H419" i="7" s="1"/>
  <c r="F422" i="7"/>
  <c r="F421" i="7" s="1"/>
  <c r="F420" i="7" s="1"/>
  <c r="F419" i="7" s="1"/>
  <c r="J215" i="7"/>
  <c r="H215" i="7"/>
  <c r="AE137" i="2"/>
  <c r="AE136" i="2" s="1"/>
  <c r="AF137" i="2"/>
  <c r="AF136" i="2" s="1"/>
  <c r="F215" i="7"/>
  <c r="AD137" i="2" l="1"/>
  <c r="AD136" i="2" s="1"/>
  <c r="AD1102" i="2"/>
  <c r="AD1107" i="2"/>
  <c r="J266" i="7" l="1"/>
  <c r="F321" i="9" s="1"/>
  <c r="F320" i="9" s="1"/>
  <c r="H266" i="7"/>
  <c r="E321" i="9" s="1"/>
  <c r="E320" i="9" s="1"/>
  <c r="F266" i="7"/>
  <c r="F265" i="7" s="1"/>
  <c r="AE185" i="2"/>
  <c r="AF185" i="2"/>
  <c r="AD185" i="2"/>
  <c r="AD184" i="2"/>
  <c r="AD783" i="2"/>
  <c r="H265" i="7" l="1"/>
  <c r="D321" i="9"/>
  <c r="D320" i="9" s="1"/>
  <c r="J265" i="7"/>
  <c r="I812" i="7" l="1"/>
  <c r="J813" i="7"/>
  <c r="F222" i="9" s="1"/>
  <c r="F221" i="9" s="1"/>
  <c r="H813" i="7"/>
  <c r="E222" i="9" s="1"/>
  <c r="E221" i="9" s="1"/>
  <c r="AD411" i="2"/>
  <c r="AD410" i="2" s="1"/>
  <c r="AF410" i="2"/>
  <c r="AE410" i="2"/>
  <c r="F813" i="7" l="1"/>
  <c r="D222" i="9" s="1"/>
  <c r="D221" i="9" s="1"/>
  <c r="J812" i="7"/>
  <c r="H812" i="7"/>
  <c r="F812" i="7" l="1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J725" i="7"/>
  <c r="H725" i="7"/>
  <c r="F725" i="7"/>
  <c r="D83" i="9" s="1"/>
  <c r="D82" i="9" s="1"/>
  <c r="D81" i="9" s="1"/>
  <c r="AE370" i="2"/>
  <c r="AE369" i="2" s="1"/>
  <c r="AF370" i="2"/>
  <c r="AF369" i="2" s="1"/>
  <c r="AD370" i="2"/>
  <c r="AD369" i="2" s="1"/>
  <c r="E83" i="9" l="1"/>
  <c r="E82" i="9" s="1"/>
  <c r="E81" i="9" s="1"/>
  <c r="H724" i="7"/>
  <c r="H723" i="7" s="1"/>
  <c r="F83" i="9"/>
  <c r="F82" i="9" s="1"/>
  <c r="F81" i="9" s="1"/>
  <c r="J724" i="7"/>
  <c r="J723" i="7" s="1"/>
  <c r="F724" i="7"/>
  <c r="F723" i="7" s="1"/>
  <c r="G725" i="7"/>
  <c r="G724" i="7" s="1"/>
  <c r="G723" i="7" s="1"/>
  <c r="AD767" i="2"/>
  <c r="AD746" i="2"/>
  <c r="AD757" i="2"/>
  <c r="G550" i="9" l="1"/>
  <c r="H550" i="9"/>
  <c r="I550" i="9"/>
  <c r="J550" i="9"/>
  <c r="K550" i="9"/>
  <c r="L550" i="9"/>
  <c r="M550" i="9"/>
  <c r="N550" i="9"/>
  <c r="O550" i="9"/>
  <c r="P550" i="9"/>
  <c r="Q550" i="9"/>
  <c r="R550" i="9"/>
  <c r="S550" i="9"/>
  <c r="T550" i="9"/>
  <c r="U550" i="9"/>
  <c r="V550" i="9"/>
  <c r="W550" i="9"/>
  <c r="X550" i="9"/>
  <c r="Y550" i="9"/>
  <c r="Z550" i="9"/>
  <c r="AA550" i="9"/>
  <c r="AB550" i="9"/>
  <c r="AC550" i="9"/>
  <c r="AD550" i="9"/>
  <c r="G713" i="7"/>
  <c r="G712" i="7" s="1"/>
  <c r="G710" i="7" s="1"/>
  <c r="G709" i="7" s="1"/>
  <c r="G708" i="7" s="1"/>
  <c r="I713" i="7"/>
  <c r="I712" i="7" s="1"/>
  <c r="F565" i="9"/>
  <c r="F564" i="9" s="1"/>
  <c r="F563" i="9" s="1"/>
  <c r="F561" i="9" s="1"/>
  <c r="F560" i="9" s="1"/>
  <c r="F714" i="7"/>
  <c r="D565" i="9" s="1"/>
  <c r="D564" i="9" s="1"/>
  <c r="D563" i="9" s="1"/>
  <c r="D561" i="9" s="1"/>
  <c r="D560" i="9" s="1"/>
  <c r="AE766" i="2"/>
  <c r="AE765" i="2" s="1"/>
  <c r="AF766" i="2"/>
  <c r="AF765" i="2" s="1"/>
  <c r="AD766" i="2"/>
  <c r="AD765" i="2" s="1"/>
  <c r="I711" i="7" l="1"/>
  <c r="I710" i="7"/>
  <c r="I709" i="7" s="1"/>
  <c r="I708" i="7" s="1"/>
  <c r="G711" i="7"/>
  <c r="AF764" i="2"/>
  <c r="AF763" i="2"/>
  <c r="AF762" i="2" s="1"/>
  <c r="AF761" i="2" s="1"/>
  <c r="AE764" i="2"/>
  <c r="AE763" i="2"/>
  <c r="AE762" i="2" s="1"/>
  <c r="AE761" i="2" s="1"/>
  <c r="E565" i="9"/>
  <c r="E564" i="9" s="1"/>
  <c r="E563" i="9" s="1"/>
  <c r="E561" i="9" s="1"/>
  <c r="E560" i="9" s="1"/>
  <c r="F562" i="9"/>
  <c r="AD764" i="2"/>
  <c r="AD763" i="2"/>
  <c r="AD762" i="2" s="1"/>
  <c r="AD761" i="2" s="1"/>
  <c r="D562" i="9"/>
  <c r="F713" i="7"/>
  <c r="F712" i="7" s="1"/>
  <c r="E562" i="9" l="1"/>
  <c r="F710" i="7"/>
  <c r="F709" i="7" s="1"/>
  <c r="F708" i="7" s="1"/>
  <c r="F711" i="7"/>
  <c r="G413" i="9" l="1"/>
  <c r="H413" i="9"/>
  <c r="I413" i="9"/>
  <c r="J413" i="9"/>
  <c r="K413" i="9"/>
  <c r="L413" i="9"/>
  <c r="M413" i="9"/>
  <c r="N413" i="9"/>
  <c r="O413" i="9"/>
  <c r="P413" i="9"/>
  <c r="Q413" i="9"/>
  <c r="R413" i="9"/>
  <c r="S413" i="9"/>
  <c r="T413" i="9"/>
  <c r="U413" i="9"/>
  <c r="V413" i="9"/>
  <c r="W413" i="9"/>
  <c r="X413" i="9"/>
  <c r="Y413" i="9"/>
  <c r="Z413" i="9"/>
  <c r="AA413" i="9"/>
  <c r="AB413" i="9"/>
  <c r="AC413" i="9"/>
  <c r="AD413" i="9"/>
  <c r="G458" i="7"/>
  <c r="G457" i="7" s="1"/>
  <c r="G456" i="7" s="1"/>
  <c r="J458" i="7"/>
  <c r="J457" i="7" s="1"/>
  <c r="J456" i="7" s="1"/>
  <c r="H458" i="7"/>
  <c r="H457" i="7" s="1"/>
  <c r="H456" i="7" s="1"/>
  <c r="AE954" i="2"/>
  <c r="AE953" i="2" s="1"/>
  <c r="AF954" i="2"/>
  <c r="AF953" i="2" s="1"/>
  <c r="AD955" i="2"/>
  <c r="AD954" i="2" s="1"/>
  <c r="AD953" i="2" s="1"/>
  <c r="F458" i="7" l="1"/>
  <c r="F457" i="7" s="1"/>
  <c r="F456" i="7" s="1"/>
  <c r="F422" i="9"/>
  <c r="F421" i="9" s="1"/>
  <c r="F420" i="9" s="1"/>
  <c r="E422" i="9"/>
  <c r="E421" i="9" s="1"/>
  <c r="E420" i="9" s="1"/>
  <c r="AD525" i="2"/>
  <c r="AD522" i="2"/>
  <c r="D422" i="9" l="1"/>
  <c r="D421" i="9" s="1"/>
  <c r="D420" i="9" s="1"/>
  <c r="J806" i="7"/>
  <c r="J803" i="7" s="1"/>
  <c r="H806" i="7"/>
  <c r="H803" i="7" s="1"/>
  <c r="D216" i="9"/>
  <c r="D215" i="9" s="1"/>
  <c r="D212" i="9" s="1"/>
  <c r="AD451" i="2"/>
  <c r="G445" i="7"/>
  <c r="G447" i="7"/>
  <c r="G446" i="7" s="1"/>
  <c r="J448" i="7"/>
  <c r="F412" i="9" s="1"/>
  <c r="F411" i="9" s="1"/>
  <c r="F410" i="9" s="1"/>
  <c r="H448" i="7"/>
  <c r="E412" i="9" s="1"/>
  <c r="E411" i="9" s="1"/>
  <c r="E410" i="9" s="1"/>
  <c r="AE944" i="2"/>
  <c r="AE943" i="2" s="1"/>
  <c r="AF944" i="2"/>
  <c r="AF943" i="2" s="1"/>
  <c r="AD945" i="2"/>
  <c r="F448" i="7" s="1"/>
  <c r="D412" i="9" s="1"/>
  <c r="D411" i="9" s="1"/>
  <c r="D410" i="9" s="1"/>
  <c r="AD942" i="2"/>
  <c r="AD722" i="2"/>
  <c r="AD944" i="2" l="1"/>
  <c r="AD943" i="2" s="1"/>
  <c r="F216" i="9"/>
  <c r="F215" i="9" s="1"/>
  <c r="F212" i="9" s="1"/>
  <c r="F806" i="7"/>
  <c r="F803" i="7" s="1"/>
  <c r="J447" i="7"/>
  <c r="J446" i="7" s="1"/>
  <c r="E216" i="9"/>
  <c r="E215" i="9" s="1"/>
  <c r="E212" i="9" s="1"/>
  <c r="F447" i="7"/>
  <c r="F446" i="7" s="1"/>
  <c r="H447" i="7"/>
  <c r="H446" i="7" s="1"/>
  <c r="F815" i="7" l="1"/>
  <c r="J922" i="7" l="1"/>
  <c r="K922" i="7" s="1"/>
  <c r="K921" i="7" s="1"/>
  <c r="H922" i="7"/>
  <c r="I922" i="7" s="1"/>
  <c r="I921" i="7" s="1"/>
  <c r="F922" i="7"/>
  <c r="G922" i="7" s="1"/>
  <c r="G921" i="7" s="1"/>
  <c r="AE503" i="2"/>
  <c r="AE502" i="2" s="1"/>
  <c r="AE501" i="2" s="1"/>
  <c r="AE500" i="2" s="1"/>
  <c r="AE499" i="2" s="1"/>
  <c r="AE498" i="2" s="1"/>
  <c r="AF503" i="2"/>
  <c r="AF502" i="2" s="1"/>
  <c r="AF501" i="2" s="1"/>
  <c r="AF500" i="2" s="1"/>
  <c r="AF499" i="2" s="1"/>
  <c r="AF498" i="2" s="1"/>
  <c r="AD503" i="2"/>
  <c r="AD502" i="2" s="1"/>
  <c r="AD501" i="2" s="1"/>
  <c r="AD500" i="2" s="1"/>
  <c r="AD499" i="2" s="1"/>
  <c r="AD498" i="2" s="1"/>
  <c r="J178" i="7"/>
  <c r="J177" i="7" s="1"/>
  <c r="H178" i="7"/>
  <c r="H177" i="7" s="1"/>
  <c r="F178" i="7"/>
  <c r="F177" i="7" s="1"/>
  <c r="J180" i="7"/>
  <c r="F527" i="9" s="1"/>
  <c r="F526" i="9" s="1"/>
  <c r="H180" i="7"/>
  <c r="H179" i="7" s="1"/>
  <c r="F180" i="7"/>
  <c r="D527" i="9" s="1"/>
  <c r="D526" i="9" s="1"/>
  <c r="AE102" i="2"/>
  <c r="AF102" i="2"/>
  <c r="AE104" i="2"/>
  <c r="AF104" i="2"/>
  <c r="AD102" i="2"/>
  <c r="AD104" i="2"/>
  <c r="AE108" i="2"/>
  <c r="AF108" i="2"/>
  <c r="AD109" i="2"/>
  <c r="F186" i="7" s="1"/>
  <c r="AD110" i="2"/>
  <c r="AE110" i="2"/>
  <c r="AF110" i="2"/>
  <c r="AF672" i="2"/>
  <c r="AE672" i="2"/>
  <c r="AD672" i="2"/>
  <c r="AF856" i="2"/>
  <c r="AE856" i="2"/>
  <c r="AD856" i="2"/>
  <c r="J658" i="7"/>
  <c r="F110" i="9" s="1"/>
  <c r="F109" i="9" s="1"/>
  <c r="H658" i="7"/>
  <c r="E110" i="9" s="1"/>
  <c r="E109" i="9" s="1"/>
  <c r="F658" i="7"/>
  <c r="F657" i="7" s="1"/>
  <c r="AE710" i="2"/>
  <c r="AF710" i="2"/>
  <c r="AD710" i="2"/>
  <c r="J317" i="7"/>
  <c r="J316" i="7" s="1"/>
  <c r="H317" i="7"/>
  <c r="H316" i="7" s="1"/>
  <c r="F317" i="7"/>
  <c r="F316" i="7" s="1"/>
  <c r="AD880" i="2"/>
  <c r="AE877" i="2"/>
  <c r="AF877" i="2"/>
  <c r="AD877" i="2"/>
  <c r="AD810" i="2"/>
  <c r="AD142" i="2"/>
  <c r="AD173" i="2"/>
  <c r="AD134" i="2"/>
  <c r="AD563" i="2"/>
  <c r="AD1046" i="2"/>
  <c r="AD96" i="2"/>
  <c r="AD101" i="2" l="1"/>
  <c r="AF107" i="2"/>
  <c r="AE101" i="2"/>
  <c r="F921" i="7"/>
  <c r="J921" i="7"/>
  <c r="E118" i="9"/>
  <c r="E117" i="9" s="1"/>
  <c r="H921" i="7"/>
  <c r="D118" i="9"/>
  <c r="D117" i="9" s="1"/>
  <c r="F118" i="9"/>
  <c r="F117" i="9" s="1"/>
  <c r="F179" i="7"/>
  <c r="D525" i="9"/>
  <c r="D524" i="9" s="1"/>
  <c r="E525" i="9"/>
  <c r="E524" i="9" s="1"/>
  <c r="F525" i="9"/>
  <c r="F524" i="9" s="1"/>
  <c r="J179" i="7"/>
  <c r="E527" i="9"/>
  <c r="E526" i="9" s="1"/>
  <c r="AF101" i="2"/>
  <c r="AE107" i="2"/>
  <c r="AD108" i="2"/>
  <c r="AD107" i="2" s="1"/>
  <c r="D110" i="9"/>
  <c r="D109" i="9" s="1"/>
  <c r="D271" i="9"/>
  <c r="D270" i="9" s="1"/>
  <c r="G317" i="7"/>
  <c r="G316" i="7" s="1"/>
  <c r="E271" i="9"/>
  <c r="E270" i="9" s="1"/>
  <c r="F271" i="9"/>
  <c r="F270" i="9" s="1"/>
  <c r="AD1013" i="2" l="1"/>
  <c r="AD636" i="2"/>
  <c r="AD633" i="2"/>
  <c r="AD630" i="2"/>
  <c r="G430" i="9"/>
  <c r="H430" i="9"/>
  <c r="I430" i="9"/>
  <c r="J430" i="9"/>
  <c r="K430" i="9"/>
  <c r="L430" i="9"/>
  <c r="M430" i="9"/>
  <c r="N430" i="9"/>
  <c r="O430" i="9"/>
  <c r="P430" i="9"/>
  <c r="Q430" i="9"/>
  <c r="R430" i="9"/>
  <c r="S430" i="9"/>
  <c r="T430" i="9"/>
  <c r="U430" i="9"/>
  <c r="V430" i="9"/>
  <c r="W430" i="9"/>
  <c r="X430" i="9"/>
  <c r="Y430" i="9"/>
  <c r="Z430" i="9"/>
  <c r="AA430" i="9"/>
  <c r="AB430" i="9"/>
  <c r="AC430" i="9"/>
  <c r="AD430" i="9"/>
  <c r="J467" i="7"/>
  <c r="J466" i="7" s="1"/>
  <c r="J465" i="7" s="1"/>
  <c r="H467" i="7"/>
  <c r="H466" i="7" s="1"/>
  <c r="H465" i="7" s="1"/>
  <c r="F467" i="7"/>
  <c r="F466" i="7" s="1"/>
  <c r="F465" i="7" s="1"/>
  <c r="AE963" i="2"/>
  <c r="AE962" i="2" s="1"/>
  <c r="AE961" i="2" s="1"/>
  <c r="AF963" i="2"/>
  <c r="AF962" i="2" s="1"/>
  <c r="AF961" i="2" s="1"/>
  <c r="AD963" i="2"/>
  <c r="AD962" i="2" s="1"/>
  <c r="AD961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38" i="2"/>
  <c r="AE737" i="2" s="1"/>
  <c r="AE736" i="2" s="1"/>
  <c r="AF738" i="2"/>
  <c r="AF737" i="2" s="1"/>
  <c r="AF736" i="2" s="1"/>
  <c r="AD738" i="2"/>
  <c r="AD737" i="2" s="1"/>
  <c r="AD736" i="2" s="1"/>
  <c r="AD205" i="2"/>
  <c r="J293" i="7"/>
  <c r="J292" i="7" s="1"/>
  <c r="J291" i="7" s="1"/>
  <c r="J290" i="7" s="1"/>
  <c r="J289" i="7" s="1"/>
  <c r="J288" i="7" s="1"/>
  <c r="H293" i="7"/>
  <c r="H292" i="7" s="1"/>
  <c r="H291" i="7" s="1"/>
  <c r="H290" i="7" s="1"/>
  <c r="H289" i="7" s="1"/>
  <c r="H288" i="7" s="1"/>
  <c r="F293" i="7"/>
  <c r="F292" i="7" s="1"/>
  <c r="F291" i="7" s="1"/>
  <c r="F290" i="7" s="1"/>
  <c r="F289" i="7" s="1"/>
  <c r="F288" i="7" s="1"/>
  <c r="AF212" i="2"/>
  <c r="AF211" i="2" s="1"/>
  <c r="AF210" i="2" s="1"/>
  <c r="AF209" i="2" s="1"/>
  <c r="AF208" i="2" s="1"/>
  <c r="AE212" i="2"/>
  <c r="AE211" i="2" s="1"/>
  <c r="AE210" i="2" s="1"/>
  <c r="AE209" i="2" s="1"/>
  <c r="AE208" i="2" s="1"/>
  <c r="AD212" i="2"/>
  <c r="AD211" i="2" s="1"/>
  <c r="AD210" i="2" s="1"/>
  <c r="AD209" i="2" s="1"/>
  <c r="AD208" i="2" s="1"/>
  <c r="F431" i="9" l="1"/>
  <c r="F430" i="9" s="1"/>
  <c r="F429" i="9" s="1"/>
  <c r="D431" i="9"/>
  <c r="D430" i="9" s="1"/>
  <c r="D429" i="9" s="1"/>
  <c r="E431" i="9"/>
  <c r="E430" i="9" s="1"/>
  <c r="E429" i="9" s="1"/>
  <c r="D150" i="9"/>
  <c r="D149" i="9" s="1"/>
  <c r="D148" i="9" s="1"/>
  <c r="D147" i="9" s="1"/>
  <c r="E150" i="9"/>
  <c r="E149" i="9" s="1"/>
  <c r="E148" i="9" s="1"/>
  <c r="E147" i="9" s="1"/>
  <c r="F150" i="9"/>
  <c r="F149" i="9" s="1"/>
  <c r="F148" i="9" s="1"/>
  <c r="F147" i="9" s="1"/>
  <c r="I454" i="7" l="1"/>
  <c r="I453" i="7" s="1"/>
  <c r="I449" i="7" s="1"/>
  <c r="AE952" i="2" l="1"/>
  <c r="AE790" i="2"/>
  <c r="AD1041" i="2"/>
  <c r="AD1027" i="2"/>
  <c r="AD311" i="2"/>
  <c r="G489" i="9"/>
  <c r="H489" i="9"/>
  <c r="I489" i="9"/>
  <c r="J489" i="9"/>
  <c r="K489" i="9"/>
  <c r="L489" i="9"/>
  <c r="M489" i="9"/>
  <c r="N489" i="9"/>
  <c r="O489" i="9"/>
  <c r="P489" i="9"/>
  <c r="Q489" i="9"/>
  <c r="R489" i="9"/>
  <c r="S489" i="9"/>
  <c r="T489" i="9"/>
  <c r="U489" i="9"/>
  <c r="V489" i="9"/>
  <c r="W489" i="9"/>
  <c r="X489" i="9"/>
  <c r="Y489" i="9"/>
  <c r="Z489" i="9"/>
  <c r="AA489" i="9"/>
  <c r="AB489" i="9"/>
  <c r="AC489" i="9"/>
  <c r="AD489" i="9"/>
  <c r="J71" i="7"/>
  <c r="J70" i="7" s="1"/>
  <c r="H71" i="7"/>
  <c r="H70" i="7" s="1"/>
  <c r="F71" i="7"/>
  <c r="D490" i="9" s="1"/>
  <c r="D489" i="9" s="1"/>
  <c r="AE44" i="2"/>
  <c r="AF44" i="2"/>
  <c r="AD44" i="2"/>
  <c r="AD556" i="2"/>
  <c r="AD553" i="2"/>
  <c r="AD1116" i="2"/>
  <c r="AD78" i="2"/>
  <c r="AD80" i="2"/>
  <c r="J595" i="7"/>
  <c r="F733" i="9" s="1"/>
  <c r="F732" i="9" s="1"/>
  <c r="H595" i="7"/>
  <c r="E733" i="9" s="1"/>
  <c r="E732" i="9" s="1"/>
  <c r="F595" i="7"/>
  <c r="D733" i="9" s="1"/>
  <c r="D732" i="9" s="1"/>
  <c r="AE1042" i="2"/>
  <c r="AF1042" i="2"/>
  <c r="AD1042" i="2"/>
  <c r="AE939" i="2"/>
  <c r="F70" i="7" l="1"/>
  <c r="E490" i="9"/>
  <c r="E489" i="9" s="1"/>
  <c r="F490" i="9"/>
  <c r="F489" i="9" s="1"/>
  <c r="F594" i="7"/>
  <c r="J594" i="7"/>
  <c r="H594" i="7"/>
  <c r="F406" i="9" l="1"/>
  <c r="F405" i="9" s="1"/>
  <c r="F404" i="9" s="1"/>
  <c r="G441" i="7"/>
  <c r="G440" i="7" s="1"/>
  <c r="G433" i="7" s="1"/>
  <c r="I441" i="7"/>
  <c r="I440" i="7" s="1"/>
  <c r="J441" i="7"/>
  <c r="J440" i="7" s="1"/>
  <c r="H442" i="7"/>
  <c r="E406" i="9" s="1"/>
  <c r="E405" i="9" s="1"/>
  <c r="E404" i="9" s="1"/>
  <c r="AE938" i="2"/>
  <c r="AE937" i="2" s="1"/>
  <c r="AF938" i="2"/>
  <c r="AF937" i="2" s="1"/>
  <c r="AD939" i="2"/>
  <c r="AD938" i="2" s="1"/>
  <c r="AD937" i="2" s="1"/>
  <c r="AD484" i="2"/>
  <c r="F442" i="7" l="1"/>
  <c r="D406" i="9" s="1"/>
  <c r="D405" i="9" s="1"/>
  <c r="D404" i="9" s="1"/>
  <c r="H441" i="7"/>
  <c r="H440" i="7" s="1"/>
  <c r="F441" i="7" l="1"/>
  <c r="F440" i="7" s="1"/>
  <c r="G530" i="7"/>
  <c r="G532" i="7" l="1"/>
  <c r="AE77" i="2"/>
  <c r="AF77" i="2"/>
  <c r="AD77" i="2"/>
  <c r="AD82" i="2"/>
  <c r="AD343" i="2"/>
  <c r="AD986" i="2"/>
  <c r="AD590" i="2" l="1"/>
  <c r="AE704" i="2"/>
  <c r="AD704" i="2"/>
  <c r="E665" i="9"/>
  <c r="F665" i="9"/>
  <c r="G531" i="7"/>
  <c r="H531" i="7"/>
  <c r="J531" i="7"/>
  <c r="F532" i="7"/>
  <c r="D666" i="9" s="1"/>
  <c r="D665" i="9" s="1"/>
  <c r="F530" i="7"/>
  <c r="AE342" i="2"/>
  <c r="AE341" i="2" s="1"/>
  <c r="AE340" i="2" s="1"/>
  <c r="AE339" i="2" s="1"/>
  <c r="AF342" i="2"/>
  <c r="AF341" i="2" s="1"/>
  <c r="AF340" i="2" s="1"/>
  <c r="AF339" i="2" s="1"/>
  <c r="AD342" i="2"/>
  <c r="AD341" i="2" s="1"/>
  <c r="AD340" i="2" s="1"/>
  <c r="AD339" i="2" s="1"/>
  <c r="AF791" i="2"/>
  <c r="AE791" i="2"/>
  <c r="AD791" i="2"/>
  <c r="AF790" i="2"/>
  <c r="AF783" i="2"/>
  <c r="AE783" i="2"/>
  <c r="AD735" i="2"/>
  <c r="F531" i="7" l="1"/>
  <c r="J496" i="7"/>
  <c r="F307" i="9" s="1"/>
  <c r="F306" i="9" s="1"/>
  <c r="H496" i="7"/>
  <c r="E307" i="9" s="1"/>
  <c r="E306" i="9" s="1"/>
  <c r="F496" i="7"/>
  <c r="F495" i="7" s="1"/>
  <c r="AE317" i="2"/>
  <c r="AF317" i="2"/>
  <c r="AD317" i="2"/>
  <c r="J495" i="7" l="1"/>
  <c r="H495" i="7"/>
  <c r="D307" i="9"/>
  <c r="D306" i="9" s="1"/>
  <c r="AD663" i="2"/>
  <c r="G539" i="7" l="1"/>
  <c r="AE732" i="2"/>
  <c r="AE600" i="2"/>
  <c r="AE735" i="2" l="1"/>
  <c r="AE245" i="2" l="1"/>
  <c r="AF600" i="2"/>
  <c r="J682" i="7"/>
  <c r="F146" i="9" s="1"/>
  <c r="F145" i="9" s="1"/>
  <c r="F144" i="9" s="1"/>
  <c r="H682" i="7"/>
  <c r="H681" i="7" s="1"/>
  <c r="H680" i="7" s="1"/>
  <c r="F682" i="7"/>
  <c r="G681" i="7" s="1"/>
  <c r="G680" i="7" s="1"/>
  <c r="AE734" i="2"/>
  <c r="AE733" i="2" s="1"/>
  <c r="AF734" i="2"/>
  <c r="AF733" i="2" s="1"/>
  <c r="AD734" i="2"/>
  <c r="AD733" i="2" s="1"/>
  <c r="J681" i="7" l="1"/>
  <c r="J680" i="7" s="1"/>
  <c r="E146" i="9"/>
  <c r="E145" i="9" s="1"/>
  <c r="E144" i="9" s="1"/>
  <c r="I681" i="7"/>
  <c r="I680" i="7" s="1"/>
  <c r="F681" i="7"/>
  <c r="F680" i="7" s="1"/>
  <c r="D146" i="9"/>
  <c r="D145" i="9" s="1"/>
  <c r="D144" i="9" s="1"/>
  <c r="AD469" i="2"/>
  <c r="AD993" i="2" l="1"/>
  <c r="J142" i="7" l="1"/>
  <c r="J141" i="7" s="1"/>
  <c r="H142" i="7"/>
  <c r="H141" i="7" s="1"/>
  <c r="F142" i="7"/>
  <c r="F141" i="7" s="1"/>
  <c r="F136" i="7"/>
  <c r="AE618" i="2"/>
  <c r="AF618" i="2"/>
  <c r="AD618" i="2"/>
  <c r="AD86" i="2"/>
  <c r="AD88" i="2"/>
  <c r="AD625" i="2"/>
  <c r="AD623" i="2"/>
  <c r="D452" i="9" l="1"/>
  <c r="D451" i="9" s="1"/>
  <c r="E452" i="9"/>
  <c r="E451" i="9" s="1"/>
  <c r="F452" i="9"/>
  <c r="F451" i="9" s="1"/>
  <c r="J934" i="7"/>
  <c r="F361" i="9" s="1"/>
  <c r="F360" i="9" s="1"/>
  <c r="F359" i="9" s="1"/>
  <c r="H934" i="7"/>
  <c r="H933" i="7" s="1"/>
  <c r="H932" i="7" s="1"/>
  <c r="F934" i="7"/>
  <c r="D361" i="9" s="1"/>
  <c r="D360" i="9" s="1"/>
  <c r="D359" i="9" s="1"/>
  <c r="AE1081" i="2"/>
  <c r="AE1080" i="2" s="1"/>
  <c r="AF1081" i="2"/>
  <c r="AF1080" i="2" s="1"/>
  <c r="AD1081" i="2"/>
  <c r="AD1080" i="2" s="1"/>
  <c r="J524" i="7"/>
  <c r="J523" i="7" s="1"/>
  <c r="J522" i="7" s="1"/>
  <c r="H524" i="7"/>
  <c r="H523" i="7" s="1"/>
  <c r="F524" i="7"/>
  <c r="D658" i="9" s="1"/>
  <c r="D657" i="9" s="1"/>
  <c r="D656" i="9" s="1"/>
  <c r="AE979" i="2"/>
  <c r="AE978" i="2" s="1"/>
  <c r="AF979" i="2"/>
  <c r="AF978" i="2" s="1"/>
  <c r="AD979" i="2"/>
  <c r="AD978" i="2" s="1"/>
  <c r="F933" i="7" l="1"/>
  <c r="F932" i="7" s="1"/>
  <c r="J933" i="7"/>
  <c r="J932" i="7" s="1"/>
  <c r="E361" i="9"/>
  <c r="E360" i="9" s="1"/>
  <c r="E359" i="9" s="1"/>
  <c r="E658" i="9"/>
  <c r="E657" i="9" s="1"/>
  <c r="E656" i="9" s="1"/>
  <c r="H522" i="7"/>
  <c r="F658" i="9"/>
  <c r="F657" i="9" s="1"/>
  <c r="F656" i="9" s="1"/>
  <c r="F523" i="7"/>
  <c r="F522" i="7" s="1"/>
  <c r="J222" i="7"/>
  <c r="F222" i="7"/>
  <c r="AE599" i="2"/>
  <c r="AE598" i="2" s="1"/>
  <c r="AE597" i="2" s="1"/>
  <c r="AE596" i="2" s="1"/>
  <c r="AE595" i="2" s="1"/>
  <c r="AD599" i="2"/>
  <c r="AD598" i="2" s="1"/>
  <c r="AD597" i="2" s="1"/>
  <c r="AD596" i="2" s="1"/>
  <c r="AD595" i="2" s="1"/>
  <c r="AF599" i="2"/>
  <c r="AF598" i="2" s="1"/>
  <c r="AF597" i="2" s="1"/>
  <c r="AF596" i="2" s="1"/>
  <c r="AF595" i="2" s="1"/>
  <c r="G541" i="9"/>
  <c r="H541" i="9"/>
  <c r="I541" i="9"/>
  <c r="J541" i="9"/>
  <c r="K541" i="9"/>
  <c r="L541" i="9"/>
  <c r="M541" i="9"/>
  <c r="N541" i="9"/>
  <c r="O541" i="9"/>
  <c r="P541" i="9"/>
  <c r="Q541" i="9"/>
  <c r="R541" i="9"/>
  <c r="S541" i="9"/>
  <c r="T541" i="9"/>
  <c r="U541" i="9"/>
  <c r="V541" i="9"/>
  <c r="W541" i="9"/>
  <c r="X541" i="9"/>
  <c r="Y541" i="9"/>
  <c r="Z541" i="9"/>
  <c r="AA541" i="9"/>
  <c r="AB541" i="9"/>
  <c r="AC541" i="9"/>
  <c r="AD541" i="9"/>
  <c r="J195" i="7"/>
  <c r="F542" i="9" s="1"/>
  <c r="F541" i="9" s="1"/>
  <c r="H195" i="7"/>
  <c r="E542" i="9" s="1"/>
  <c r="E541" i="9" s="1"/>
  <c r="F195" i="7"/>
  <c r="F194" i="7" s="1"/>
  <c r="AE117" i="2"/>
  <c r="AF117" i="2"/>
  <c r="AD117" i="2"/>
  <c r="AD116" i="2"/>
  <c r="H222" i="7" l="1"/>
  <c r="H194" i="7"/>
  <c r="J194" i="7"/>
  <c r="D542" i="9"/>
  <c r="D541" i="9" s="1"/>
  <c r="G677" i="9" l="1"/>
  <c r="H677" i="9"/>
  <c r="I677" i="9"/>
  <c r="J677" i="9"/>
  <c r="K677" i="9"/>
  <c r="L677" i="9"/>
  <c r="M677" i="9"/>
  <c r="N677" i="9"/>
  <c r="O677" i="9"/>
  <c r="P677" i="9"/>
  <c r="Q677" i="9"/>
  <c r="R677" i="9"/>
  <c r="S677" i="9"/>
  <c r="T677" i="9"/>
  <c r="U677" i="9"/>
  <c r="V677" i="9"/>
  <c r="W677" i="9"/>
  <c r="X677" i="9"/>
  <c r="Y677" i="9"/>
  <c r="Z677" i="9"/>
  <c r="AA677" i="9"/>
  <c r="AB677" i="9"/>
  <c r="AC677" i="9"/>
  <c r="AD677" i="9"/>
  <c r="J278" i="7"/>
  <c r="F346" i="9" s="1"/>
  <c r="F345" i="9" s="1"/>
  <c r="H278" i="7"/>
  <c r="E346" i="9" s="1"/>
  <c r="E345" i="9" s="1"/>
  <c r="J277" i="7" l="1"/>
  <c r="H277" i="7"/>
  <c r="AD200" i="2"/>
  <c r="AE197" i="2"/>
  <c r="AF197" i="2"/>
  <c r="AD198" i="2"/>
  <c r="AD197" i="2" l="1"/>
  <c r="F278" i="7"/>
  <c r="H568" i="7"/>
  <c r="E709" i="9" s="1"/>
  <c r="D346" i="9" l="1"/>
  <c r="D345" i="9" s="1"/>
  <c r="F277" i="7"/>
  <c r="J568" i="7"/>
  <c r="F709" i="9" s="1"/>
  <c r="H567" i="7"/>
  <c r="H566" i="7" s="1"/>
  <c r="G521" i="9"/>
  <c r="H521" i="9"/>
  <c r="I521" i="9"/>
  <c r="J521" i="9"/>
  <c r="K521" i="9"/>
  <c r="L521" i="9"/>
  <c r="M521" i="9"/>
  <c r="N521" i="9"/>
  <c r="O521" i="9"/>
  <c r="P521" i="9"/>
  <c r="Q521" i="9"/>
  <c r="R521" i="9"/>
  <c r="S521" i="9"/>
  <c r="T521" i="9"/>
  <c r="U521" i="9"/>
  <c r="V521" i="9"/>
  <c r="W521" i="9"/>
  <c r="X521" i="9"/>
  <c r="Y521" i="9"/>
  <c r="Z521" i="9"/>
  <c r="AA521" i="9"/>
  <c r="AB521" i="9"/>
  <c r="AC521" i="9"/>
  <c r="AD521" i="9"/>
  <c r="J175" i="7"/>
  <c r="F522" i="9" s="1"/>
  <c r="F521" i="9" s="1"/>
  <c r="H175" i="7"/>
  <c r="E522" i="9" s="1"/>
  <c r="E521" i="9" s="1"/>
  <c r="F175" i="7"/>
  <c r="D522" i="9" s="1"/>
  <c r="D521" i="9" s="1"/>
  <c r="AE99" i="2"/>
  <c r="AF99" i="2"/>
  <c r="AD99" i="2"/>
  <c r="AD98" i="2"/>
  <c r="J567" i="7" l="1"/>
  <c r="J566" i="7" s="1"/>
  <c r="F174" i="7"/>
  <c r="J174" i="7"/>
  <c r="H174" i="7"/>
  <c r="AD990" i="2"/>
  <c r="J631" i="7" l="1"/>
  <c r="J630" i="7" s="1"/>
  <c r="J629" i="7" s="1"/>
  <c r="H631" i="7"/>
  <c r="H630" i="7" s="1"/>
  <c r="H629" i="7" s="1"/>
  <c r="F631" i="7"/>
  <c r="D103" i="9" s="1"/>
  <c r="D102" i="9" s="1"/>
  <c r="D101" i="9" s="1"/>
  <c r="AE683" i="2"/>
  <c r="AE682" i="2" s="1"/>
  <c r="AF683" i="2"/>
  <c r="AF682" i="2" s="1"/>
  <c r="AD683" i="2"/>
  <c r="AD682" i="2" s="1"/>
  <c r="F103" i="9" l="1"/>
  <c r="F102" i="9" s="1"/>
  <c r="F101" i="9" s="1"/>
  <c r="E103" i="9"/>
  <c r="E102" i="9" s="1"/>
  <c r="E101" i="9" s="1"/>
  <c r="F630" i="7"/>
  <c r="F629" i="7" s="1"/>
  <c r="AD983" i="2" l="1"/>
  <c r="AD351" i="2"/>
  <c r="F568" i="7" s="1"/>
  <c r="F567" i="7" l="1"/>
  <c r="F566" i="7" s="1"/>
  <c r="D709" i="9"/>
  <c r="H476" i="7"/>
  <c r="E512" i="9" s="1"/>
  <c r="E511" i="9" s="1"/>
  <c r="E510" i="9" s="1"/>
  <c r="J476" i="7"/>
  <c r="J475" i="7" s="1"/>
  <c r="F476" i="7"/>
  <c r="F475" i="7" s="1"/>
  <c r="F474" i="7" s="1"/>
  <c r="F473" i="7" s="1"/>
  <c r="F472" i="7" s="1"/>
  <c r="F471" i="7" s="1"/>
  <c r="AE647" i="2"/>
  <c r="AE646" i="2" s="1"/>
  <c r="AE645" i="2" s="1"/>
  <c r="AE644" i="2" s="1"/>
  <c r="AE643" i="2" s="1"/>
  <c r="AE642" i="2" s="1"/>
  <c r="AE641" i="2" s="1"/>
  <c r="AF647" i="2"/>
  <c r="AF646" i="2" s="1"/>
  <c r="AF645" i="2" s="1"/>
  <c r="AF644" i="2" s="1"/>
  <c r="AF643" i="2" s="1"/>
  <c r="AF642" i="2" s="1"/>
  <c r="AF641" i="2" s="1"/>
  <c r="AD647" i="2"/>
  <c r="AD646" i="2" s="1"/>
  <c r="AD645" i="2" s="1"/>
  <c r="AD644" i="2" s="1"/>
  <c r="AD643" i="2" s="1"/>
  <c r="AD642" i="2" s="1"/>
  <c r="AD641" i="2" s="1"/>
  <c r="G654" i="9"/>
  <c r="H654" i="9"/>
  <c r="I654" i="9"/>
  <c r="J654" i="9"/>
  <c r="K654" i="9"/>
  <c r="L654" i="9"/>
  <c r="M654" i="9"/>
  <c r="N654" i="9"/>
  <c r="O654" i="9"/>
  <c r="P654" i="9"/>
  <c r="Q654" i="9"/>
  <c r="R654" i="9"/>
  <c r="S654" i="9"/>
  <c r="T654" i="9"/>
  <c r="U654" i="9"/>
  <c r="V654" i="9"/>
  <c r="W654" i="9"/>
  <c r="X654" i="9"/>
  <c r="Y654" i="9"/>
  <c r="Z654" i="9"/>
  <c r="AA654" i="9"/>
  <c r="AB654" i="9"/>
  <c r="AC654" i="9"/>
  <c r="AD654" i="9"/>
  <c r="J521" i="7"/>
  <c r="J520" i="7" s="1"/>
  <c r="J519" i="7" s="1"/>
  <c r="H521" i="7"/>
  <c r="H520" i="7" s="1"/>
  <c r="H519" i="7" s="1"/>
  <c r="F521" i="7"/>
  <c r="D655" i="9" s="1"/>
  <c r="D654" i="9" s="1"/>
  <c r="D653" i="9" s="1"/>
  <c r="H309" i="7"/>
  <c r="H308" i="7" s="1"/>
  <c r="H307" i="7" s="1"/>
  <c r="H306" i="7" s="1"/>
  <c r="H305" i="7" s="1"/>
  <c r="J309" i="7"/>
  <c r="J308" i="7" s="1"/>
  <c r="J307" i="7" s="1"/>
  <c r="J306" i="7" s="1"/>
  <c r="J305" i="7" s="1"/>
  <c r="F309" i="7"/>
  <c r="D796" i="9" s="1"/>
  <c r="D795" i="9" s="1"/>
  <c r="D794" i="9" s="1"/>
  <c r="AE228" i="2"/>
  <c r="AE227" i="2" s="1"/>
  <c r="AE226" i="2" s="1"/>
  <c r="AE225" i="2" s="1"/>
  <c r="AF228" i="2"/>
  <c r="AF227" i="2" s="1"/>
  <c r="AF226" i="2" s="1"/>
  <c r="AF225" i="2" s="1"/>
  <c r="AD228" i="2"/>
  <c r="AD227" i="2" s="1"/>
  <c r="AD226" i="2" s="1"/>
  <c r="AD225" i="2" s="1"/>
  <c r="AD337" i="2"/>
  <c r="G579" i="9"/>
  <c r="H579" i="9"/>
  <c r="I579" i="9"/>
  <c r="J579" i="9"/>
  <c r="K579" i="9"/>
  <c r="L579" i="9"/>
  <c r="M579" i="9"/>
  <c r="N579" i="9"/>
  <c r="O579" i="9"/>
  <c r="P579" i="9"/>
  <c r="Q579" i="9"/>
  <c r="R579" i="9"/>
  <c r="S579" i="9"/>
  <c r="T579" i="9"/>
  <c r="U579" i="9"/>
  <c r="V579" i="9"/>
  <c r="W579" i="9"/>
  <c r="X579" i="9"/>
  <c r="Y579" i="9"/>
  <c r="Z579" i="9"/>
  <c r="AA579" i="9"/>
  <c r="AB579" i="9"/>
  <c r="AC579" i="9"/>
  <c r="AD579" i="9"/>
  <c r="F581" i="9"/>
  <c r="F580" i="9" s="1"/>
  <c r="F579" i="9" s="1"/>
  <c r="F578" i="9" s="1"/>
  <c r="F577" i="9" s="1"/>
  <c r="E581" i="9"/>
  <c r="E580" i="9" s="1"/>
  <c r="E579" i="9" s="1"/>
  <c r="E578" i="9" s="1"/>
  <c r="E577" i="9" s="1"/>
  <c r="D581" i="9"/>
  <c r="D580" i="9" s="1"/>
  <c r="D579" i="9" s="1"/>
  <c r="D578" i="9" s="1"/>
  <c r="D577" i="9" s="1"/>
  <c r="H779" i="7"/>
  <c r="H778" i="7" s="1"/>
  <c r="H777" i="7" s="1"/>
  <c r="H776" i="7" s="1"/>
  <c r="J779" i="7"/>
  <c r="J778" i="7" s="1"/>
  <c r="J777" i="7" s="1"/>
  <c r="J776" i="7" s="1"/>
  <c r="F779" i="7"/>
  <c r="F778" i="7" s="1"/>
  <c r="F777" i="7" s="1"/>
  <c r="F776" i="7" s="1"/>
  <c r="AE397" i="2"/>
  <c r="AE396" i="2" s="1"/>
  <c r="AE395" i="2" s="1"/>
  <c r="AE394" i="2" s="1"/>
  <c r="AF397" i="2"/>
  <c r="AF396" i="2" s="1"/>
  <c r="AF395" i="2" s="1"/>
  <c r="AF394" i="2" s="1"/>
  <c r="AD397" i="2"/>
  <c r="AD396" i="2" s="1"/>
  <c r="AD395" i="2" s="1"/>
  <c r="AD394" i="2" s="1"/>
  <c r="AD913" i="2"/>
  <c r="AE976" i="2"/>
  <c r="AE975" i="2" s="1"/>
  <c r="AF976" i="2"/>
  <c r="AF975" i="2" s="1"/>
  <c r="AD976" i="2"/>
  <c r="AD975" i="2" s="1"/>
  <c r="AD949" i="2"/>
  <c r="J877" i="7"/>
  <c r="F70" i="9" s="1"/>
  <c r="F69" i="9" s="1"/>
  <c r="F68" i="9" s="1"/>
  <c r="F67" i="9" s="1"/>
  <c r="H877" i="7"/>
  <c r="E70" i="9" s="1"/>
  <c r="E69" i="9" s="1"/>
  <c r="E68" i="9" s="1"/>
  <c r="E67" i="9" s="1"/>
  <c r="F877" i="7"/>
  <c r="F876" i="7" s="1"/>
  <c r="F875" i="7" s="1"/>
  <c r="AE464" i="2"/>
  <c r="AE463" i="2" s="1"/>
  <c r="AE462" i="2" s="1"/>
  <c r="AF464" i="2"/>
  <c r="AF463" i="2" s="1"/>
  <c r="AF462" i="2" s="1"/>
  <c r="AD464" i="2"/>
  <c r="AD463" i="2" s="1"/>
  <c r="AD462" i="2" s="1"/>
  <c r="AD51" i="2"/>
  <c r="AD20" i="2"/>
  <c r="J474" i="7" l="1"/>
  <c r="J473" i="7" s="1"/>
  <c r="J472" i="7" s="1"/>
  <c r="J471" i="7" s="1"/>
  <c r="F512" i="9"/>
  <c r="F511" i="9" s="1"/>
  <c r="F510" i="9" s="1"/>
  <c r="H475" i="7"/>
  <c r="H474" i="7" s="1"/>
  <c r="H473" i="7" s="1"/>
  <c r="H472" i="7" s="1"/>
  <c r="H471" i="7" s="1"/>
  <c r="D512" i="9"/>
  <c r="D511" i="9" s="1"/>
  <c r="D510" i="9" s="1"/>
  <c r="F520" i="7"/>
  <c r="F519" i="7" s="1"/>
  <c r="E655" i="9"/>
  <c r="E654" i="9" s="1"/>
  <c r="E653" i="9" s="1"/>
  <c r="F655" i="9"/>
  <c r="F654" i="9" s="1"/>
  <c r="F653" i="9" s="1"/>
  <c r="F308" i="7"/>
  <c r="F307" i="7" s="1"/>
  <c r="F306" i="7" s="1"/>
  <c r="F305" i="7" s="1"/>
  <c r="F796" i="9"/>
  <c r="F795" i="9" s="1"/>
  <c r="F794" i="9" s="1"/>
  <c r="E796" i="9"/>
  <c r="E795" i="9" s="1"/>
  <c r="E794" i="9" s="1"/>
  <c r="J876" i="7"/>
  <c r="J875" i="7" s="1"/>
  <c r="H876" i="7"/>
  <c r="H875" i="7" s="1"/>
  <c r="D70" i="9"/>
  <c r="D69" i="9" s="1"/>
  <c r="D68" i="9" s="1"/>
  <c r="D67" i="9" s="1"/>
  <c r="AD367" i="2"/>
  <c r="AD259" i="2"/>
  <c r="AD263" i="2"/>
  <c r="J841" i="7"/>
  <c r="F33" i="9" s="1"/>
  <c r="F32" i="9" s="1"/>
  <c r="F31" i="9" s="1"/>
  <c r="F30" i="9" s="1"/>
  <c r="H841" i="7"/>
  <c r="E33" i="9" s="1"/>
  <c r="E32" i="9" s="1"/>
  <c r="E31" i="9" s="1"/>
  <c r="E30" i="9" s="1"/>
  <c r="F841" i="7"/>
  <c r="D33" i="9" s="1"/>
  <c r="D32" i="9" s="1"/>
  <c r="D31" i="9" s="1"/>
  <c r="D30" i="9" s="1"/>
  <c r="AE427" i="2"/>
  <c r="AE426" i="2" s="1"/>
  <c r="AE425" i="2" s="1"/>
  <c r="AF427" i="2"/>
  <c r="AF426" i="2" s="1"/>
  <c r="AF425" i="2" s="1"/>
  <c r="AD427" i="2"/>
  <c r="AD426" i="2" s="1"/>
  <c r="AD425" i="2" s="1"/>
  <c r="J840" i="7" l="1"/>
  <c r="J839" i="7" s="1"/>
  <c r="J838" i="7" s="1"/>
  <c r="H840" i="7"/>
  <c r="H839" i="7" s="1"/>
  <c r="H838" i="7" s="1"/>
  <c r="F840" i="7"/>
  <c r="F839" i="7" s="1"/>
  <c r="F838" i="7" s="1"/>
  <c r="AD331" i="2"/>
  <c r="AD165" i="2"/>
  <c r="J644" i="7"/>
  <c r="F143" i="9" s="1"/>
  <c r="F142" i="9" s="1"/>
  <c r="F141" i="9" s="1"/>
  <c r="H644" i="7"/>
  <c r="F644" i="7"/>
  <c r="AF696" i="2"/>
  <c r="AF695" i="2" s="1"/>
  <c r="AF694" i="2" s="1"/>
  <c r="AE696" i="2"/>
  <c r="AE695" i="2" s="1"/>
  <c r="AE694" i="2" s="1"/>
  <c r="AD696" i="2"/>
  <c r="AD695" i="2" s="1"/>
  <c r="AD694" i="2" s="1"/>
  <c r="G644" i="7" l="1"/>
  <c r="G643" i="7" s="1"/>
  <c r="G642" i="7" s="1"/>
  <c r="G641" i="7" s="1"/>
  <c r="D143" i="9"/>
  <c r="D142" i="9" s="1"/>
  <c r="D141" i="9" s="1"/>
  <c r="H643" i="7"/>
  <c r="H642" i="7" s="1"/>
  <c r="H641" i="7" s="1"/>
  <c r="E143" i="9"/>
  <c r="E142" i="9" s="1"/>
  <c r="E141" i="9" s="1"/>
  <c r="J643" i="7"/>
  <c r="J642" i="7" s="1"/>
  <c r="J641" i="7" s="1"/>
  <c r="F643" i="7"/>
  <c r="F642" i="7" s="1"/>
  <c r="F641" i="7" s="1"/>
  <c r="G792" i="9"/>
  <c r="H792" i="9"/>
  <c r="I792" i="9"/>
  <c r="J792" i="9"/>
  <c r="K792" i="9"/>
  <c r="L792" i="9"/>
  <c r="M792" i="9"/>
  <c r="N792" i="9"/>
  <c r="O792" i="9"/>
  <c r="P792" i="9"/>
  <c r="Q792" i="9"/>
  <c r="R792" i="9"/>
  <c r="S792" i="9"/>
  <c r="T792" i="9"/>
  <c r="U792" i="9"/>
  <c r="V792" i="9"/>
  <c r="W792" i="9"/>
  <c r="X792" i="9"/>
  <c r="Y792" i="9"/>
  <c r="Z792" i="9"/>
  <c r="AA792" i="9"/>
  <c r="AB792" i="9"/>
  <c r="AC792" i="9"/>
  <c r="AD792" i="9"/>
  <c r="J219" i="7"/>
  <c r="J218" i="7" s="1"/>
  <c r="J217" i="7" s="1"/>
  <c r="H219" i="7"/>
  <c r="E793" i="9" s="1"/>
  <c r="E792" i="9" s="1"/>
  <c r="E791" i="9" s="1"/>
  <c r="F219" i="7"/>
  <c r="D793" i="9" s="1"/>
  <c r="D792" i="9" s="1"/>
  <c r="D791" i="9" s="1"/>
  <c r="J221" i="7"/>
  <c r="J220" i="7" s="1"/>
  <c r="J216" i="7" l="1"/>
  <c r="F793" i="9"/>
  <c r="F792" i="9" s="1"/>
  <c r="F791" i="9" s="1"/>
  <c r="F218" i="7"/>
  <c r="F217" i="7" s="1"/>
  <c r="H218" i="7"/>
  <c r="H217" i="7" s="1"/>
  <c r="AD141" i="2" l="1"/>
  <c r="AD140" i="2" s="1"/>
  <c r="AD139" i="2" s="1"/>
  <c r="AD135" i="2" s="1"/>
  <c r="AF141" i="2"/>
  <c r="AF140" i="2" s="1"/>
  <c r="AF139" i="2" s="1"/>
  <c r="AF135" i="2" s="1"/>
  <c r="AE141" i="2"/>
  <c r="AE140" i="2" s="1"/>
  <c r="AE139" i="2" s="1"/>
  <c r="AE135" i="2" s="1"/>
  <c r="AD584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48" i="2"/>
  <c r="AF547" i="2" s="1"/>
  <c r="AF546" i="2" s="1"/>
  <c r="AF545" i="2" s="1"/>
  <c r="AF544" i="2" s="1"/>
  <c r="AE548" i="2"/>
  <c r="AE547" i="2" s="1"/>
  <c r="AE546" i="2" s="1"/>
  <c r="AE545" i="2" s="1"/>
  <c r="AE544" i="2" s="1"/>
  <c r="AD548" i="2"/>
  <c r="AD547" i="2" s="1"/>
  <c r="AD546" i="2" s="1"/>
  <c r="AD545" i="2" s="1"/>
  <c r="AD544" i="2" s="1"/>
  <c r="G777" i="9" l="1"/>
  <c r="H777" i="9"/>
  <c r="I777" i="9"/>
  <c r="J777" i="9"/>
  <c r="K777" i="9"/>
  <c r="L777" i="9"/>
  <c r="M777" i="9"/>
  <c r="N777" i="9"/>
  <c r="O777" i="9"/>
  <c r="P777" i="9"/>
  <c r="Q777" i="9"/>
  <c r="R777" i="9"/>
  <c r="S777" i="9"/>
  <c r="T777" i="9"/>
  <c r="U777" i="9"/>
  <c r="V777" i="9"/>
  <c r="W777" i="9"/>
  <c r="X777" i="9"/>
  <c r="Y777" i="9"/>
  <c r="Z777" i="9"/>
  <c r="AA777" i="9"/>
  <c r="AB777" i="9"/>
  <c r="AC777" i="9"/>
  <c r="AD777" i="9"/>
  <c r="J214" i="7"/>
  <c r="J213" i="7" s="1"/>
  <c r="H214" i="7"/>
  <c r="H213" i="7" s="1"/>
  <c r="D786" i="9"/>
  <c r="D785" i="9" s="1"/>
  <c r="D784" i="9" s="1"/>
  <c r="AE639" i="2"/>
  <c r="AE638" i="2" s="1"/>
  <c r="AE637" i="2" s="1"/>
  <c r="AF639" i="2"/>
  <c r="AF638" i="2" s="1"/>
  <c r="AF637" i="2" s="1"/>
  <c r="AD639" i="2"/>
  <c r="AD638" i="2" s="1"/>
  <c r="AD637" i="2" s="1"/>
  <c r="AD1010" i="2"/>
  <c r="J148" i="7"/>
  <c r="H148" i="7"/>
  <c r="F148" i="7"/>
  <c r="AE87" i="2"/>
  <c r="AF87" i="2"/>
  <c r="AD87" i="2"/>
  <c r="AF1020" i="2"/>
  <c r="AE1020" i="2"/>
  <c r="AD1020" i="2"/>
  <c r="AF1004" i="2"/>
  <c r="J536" i="7"/>
  <c r="J535" i="7" s="1"/>
  <c r="J534" i="7" s="1"/>
  <c r="H536" i="7"/>
  <c r="H535" i="7" s="1"/>
  <c r="H534" i="7" s="1"/>
  <c r="F536" i="7"/>
  <c r="D670" i="9" s="1"/>
  <c r="D669" i="9" s="1"/>
  <c r="D668" i="9" s="1"/>
  <c r="AF989" i="2"/>
  <c r="AF988" i="2" s="1"/>
  <c r="AE989" i="2"/>
  <c r="AE988" i="2" s="1"/>
  <c r="AD989" i="2"/>
  <c r="AD988" i="2" s="1"/>
  <c r="E786" i="9" l="1"/>
  <c r="E785" i="9" s="1"/>
  <c r="E784" i="9" s="1"/>
  <c r="F786" i="9"/>
  <c r="F785" i="9" s="1"/>
  <c r="F784" i="9" s="1"/>
  <c r="F214" i="7"/>
  <c r="F213" i="7" s="1"/>
  <c r="E670" i="9"/>
  <c r="E669" i="9" s="1"/>
  <c r="E668" i="9" s="1"/>
  <c r="F670" i="9"/>
  <c r="F669" i="9" s="1"/>
  <c r="F668" i="9" s="1"/>
  <c r="F535" i="7"/>
  <c r="F534" i="7" s="1"/>
  <c r="J572" i="7"/>
  <c r="H572" i="7"/>
  <c r="F572" i="7"/>
  <c r="D725" i="9" s="1"/>
  <c r="D724" i="9" s="1"/>
  <c r="D723" i="9" s="1"/>
  <c r="D722" i="9" s="1"/>
  <c r="AF1019" i="2"/>
  <c r="AF1018" i="2" s="1"/>
  <c r="AF1017" i="2" s="1"/>
  <c r="AE1019" i="2"/>
  <c r="AE1018" i="2" s="1"/>
  <c r="AE1017" i="2" s="1"/>
  <c r="AD1019" i="2"/>
  <c r="AD1018" i="2" s="1"/>
  <c r="AD1017" i="2" s="1"/>
  <c r="AF134" i="2"/>
  <c r="AE134" i="2"/>
  <c r="H571" i="7" l="1"/>
  <c r="H570" i="7" s="1"/>
  <c r="H569" i="7" s="1"/>
  <c r="E725" i="9"/>
  <c r="E724" i="9" s="1"/>
  <c r="E723" i="9" s="1"/>
  <c r="E722" i="9" s="1"/>
  <c r="J571" i="7"/>
  <c r="J570" i="7" s="1"/>
  <c r="J569" i="7" s="1"/>
  <c r="F725" i="9"/>
  <c r="F724" i="9" s="1"/>
  <c r="F723" i="9" s="1"/>
  <c r="F722" i="9" s="1"/>
  <c r="F571" i="7"/>
  <c r="F570" i="7" s="1"/>
  <c r="F569" i="7" s="1"/>
  <c r="J547" i="7"/>
  <c r="F685" i="9" s="1"/>
  <c r="F684" i="9" s="1"/>
  <c r="F683" i="9" s="1"/>
  <c r="H547" i="7"/>
  <c r="E685" i="9" s="1"/>
  <c r="E684" i="9" s="1"/>
  <c r="E683" i="9" s="1"/>
  <c r="F547" i="7"/>
  <c r="D685" i="9" s="1"/>
  <c r="D684" i="9" s="1"/>
  <c r="D683" i="9" s="1"/>
  <c r="H452" i="7"/>
  <c r="H451" i="7" s="1"/>
  <c r="H450" i="7" s="1"/>
  <c r="J452" i="7"/>
  <c r="J451" i="7" s="1"/>
  <c r="J450" i="7" s="1"/>
  <c r="F452" i="7"/>
  <c r="F451" i="7" s="1"/>
  <c r="F450" i="7" s="1"/>
  <c r="F221" i="7"/>
  <c r="F220" i="7" s="1"/>
  <c r="F216" i="7" s="1"/>
  <c r="AE948" i="2"/>
  <c r="AE947" i="2" s="1"/>
  <c r="AF948" i="2"/>
  <c r="AF947" i="2" s="1"/>
  <c r="AD948" i="2"/>
  <c r="AD947" i="2" s="1"/>
  <c r="AE1000" i="2"/>
  <c r="AE999" i="2" s="1"/>
  <c r="AF1000" i="2"/>
  <c r="AF999" i="2" s="1"/>
  <c r="AD1000" i="2"/>
  <c r="AD999" i="2" s="1"/>
  <c r="AD895" i="2"/>
  <c r="E416" i="9" l="1"/>
  <c r="E415" i="9" s="1"/>
  <c r="E414" i="9" s="1"/>
  <c r="F546" i="7"/>
  <c r="F545" i="7" s="1"/>
  <c r="H546" i="7"/>
  <c r="H545" i="7" s="1"/>
  <c r="J546" i="7"/>
  <c r="J545" i="7" s="1"/>
  <c r="D416" i="9"/>
  <c r="D415" i="9" s="1"/>
  <c r="D414" i="9" s="1"/>
  <c r="F416" i="9"/>
  <c r="F415" i="9" s="1"/>
  <c r="F414" i="9" s="1"/>
  <c r="AD224" i="2" l="1"/>
  <c r="J962" i="7" l="1"/>
  <c r="F255" i="9" s="1"/>
  <c r="H962" i="7"/>
  <c r="E255" i="9" s="1"/>
  <c r="F962" i="7"/>
  <c r="J963" i="7"/>
  <c r="H963" i="7"/>
  <c r="F963" i="7"/>
  <c r="D256" i="9" s="1"/>
  <c r="AF522" i="2"/>
  <c r="AE522" i="2"/>
  <c r="AE523" i="2"/>
  <c r="AF523" i="2"/>
  <c r="AD523" i="2"/>
  <c r="F961" i="7" l="1"/>
  <c r="H961" i="7"/>
  <c r="D255" i="9"/>
  <c r="D254" i="9" s="1"/>
  <c r="J961" i="7"/>
  <c r="E256" i="9"/>
  <c r="E254" i="9" s="1"/>
  <c r="F256" i="9"/>
  <c r="F254" i="9" s="1"/>
  <c r="J136" i="7"/>
  <c r="H136" i="7"/>
  <c r="AE863" i="2"/>
  <c r="AE862" i="2" s="1"/>
  <c r="AE861" i="2" s="1"/>
  <c r="AE860" i="2" s="1"/>
  <c r="AF863" i="2"/>
  <c r="AF862" i="2" s="1"/>
  <c r="AF861" i="2" s="1"/>
  <c r="AF860" i="2" s="1"/>
  <c r="AD863" i="2"/>
  <c r="AD862" i="2" s="1"/>
  <c r="AD861" i="2" s="1"/>
  <c r="AD860" i="2" s="1"/>
  <c r="AE859" i="2" l="1"/>
  <c r="AE858" i="2" s="1"/>
  <c r="AD859" i="2"/>
  <c r="AD858" i="2" s="1"/>
  <c r="AF859" i="2"/>
  <c r="AF858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83" i="2"/>
  <c r="AD482" i="2" s="1"/>
  <c r="AD481" i="2" s="1"/>
  <c r="AD480" i="2" s="1"/>
  <c r="AD479" i="2" s="1"/>
  <c r="AD478" i="2" s="1"/>
  <c r="AD477" i="2" s="1"/>
  <c r="AF483" i="2"/>
  <c r="AF482" i="2" s="1"/>
  <c r="AF481" i="2" s="1"/>
  <c r="AF480" i="2" s="1"/>
  <c r="AF479" i="2" s="1"/>
  <c r="AF478" i="2" s="1"/>
  <c r="AF477" i="2" s="1"/>
  <c r="AE483" i="2"/>
  <c r="AE482" i="2" s="1"/>
  <c r="AE481" i="2" s="1"/>
  <c r="AE480" i="2" s="1"/>
  <c r="AE479" i="2" s="1"/>
  <c r="AE478" i="2" s="1"/>
  <c r="AE477" i="2" s="1"/>
  <c r="F889" i="7" l="1"/>
  <c r="D52" i="10"/>
  <c r="D51" i="10" s="1"/>
  <c r="H889" i="7"/>
  <c r="E52" i="10"/>
  <c r="E51" i="10" s="1"/>
  <c r="J895" i="7"/>
  <c r="J894" i="7" s="1"/>
  <c r="J893" i="7" s="1"/>
  <c r="J892" i="7" s="1"/>
  <c r="J891" i="7" s="1"/>
  <c r="J890" i="7" s="1"/>
  <c r="J889" i="7" s="1"/>
  <c r="F52" i="10"/>
  <c r="F51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62" i="7"/>
  <c r="F54" i="9" s="1"/>
  <c r="F53" i="9" s="1"/>
  <c r="H862" i="7"/>
  <c r="E54" i="9" s="1"/>
  <c r="E53" i="9" s="1"/>
  <c r="F862" i="7"/>
  <c r="D54" i="9" s="1"/>
  <c r="D53" i="9" s="1"/>
  <c r="AE448" i="2"/>
  <c r="AF448" i="2"/>
  <c r="AD448" i="2"/>
  <c r="F861" i="7" l="1"/>
  <c r="J861" i="7"/>
  <c r="H861" i="7"/>
  <c r="J609" i="7"/>
  <c r="J608" i="7" s="1"/>
  <c r="J607" i="7" s="1"/>
  <c r="J606" i="7" s="1"/>
  <c r="H609" i="7"/>
  <c r="E380" i="9" s="1"/>
  <c r="E379" i="9" s="1"/>
  <c r="E378" i="9" s="1"/>
  <c r="E377" i="9" s="1"/>
  <c r="F609" i="7"/>
  <c r="D380" i="9" s="1"/>
  <c r="D379" i="9" s="1"/>
  <c r="D378" i="9" s="1"/>
  <c r="D377" i="9" s="1"/>
  <c r="AE1056" i="2"/>
  <c r="AE1055" i="2" s="1"/>
  <c r="AF1056" i="2"/>
  <c r="AF1055" i="2" s="1"/>
  <c r="AD1056" i="2"/>
  <c r="AD1055" i="2" s="1"/>
  <c r="G659" i="9"/>
  <c r="G652" i="9" s="1"/>
  <c r="H659" i="9"/>
  <c r="H652" i="9" s="1"/>
  <c r="I659" i="9"/>
  <c r="I652" i="9" s="1"/>
  <c r="J659" i="9"/>
  <c r="J652" i="9" s="1"/>
  <c r="K659" i="9"/>
  <c r="K652" i="9" s="1"/>
  <c r="L659" i="9"/>
  <c r="L652" i="9" s="1"/>
  <c r="M659" i="9"/>
  <c r="M652" i="9" s="1"/>
  <c r="N659" i="9"/>
  <c r="N652" i="9" s="1"/>
  <c r="O659" i="9"/>
  <c r="O652" i="9" s="1"/>
  <c r="P659" i="9"/>
  <c r="P652" i="9" s="1"/>
  <c r="Q659" i="9"/>
  <c r="Q652" i="9" s="1"/>
  <c r="R659" i="9"/>
  <c r="R652" i="9" s="1"/>
  <c r="S659" i="9"/>
  <c r="S652" i="9" s="1"/>
  <c r="T659" i="9"/>
  <c r="T652" i="9" s="1"/>
  <c r="U659" i="9"/>
  <c r="U652" i="9" s="1"/>
  <c r="V659" i="9"/>
  <c r="V652" i="9" s="1"/>
  <c r="W659" i="9"/>
  <c r="W652" i="9" s="1"/>
  <c r="X659" i="9"/>
  <c r="X652" i="9" s="1"/>
  <c r="Y659" i="9"/>
  <c r="Y652" i="9" s="1"/>
  <c r="Z659" i="9"/>
  <c r="Z652" i="9" s="1"/>
  <c r="AA659" i="9"/>
  <c r="AA652" i="9" s="1"/>
  <c r="AB659" i="9"/>
  <c r="AB652" i="9" s="1"/>
  <c r="AC659" i="9"/>
  <c r="AC652" i="9" s="1"/>
  <c r="AD659" i="9"/>
  <c r="AD652" i="9" s="1"/>
  <c r="J527" i="7"/>
  <c r="J526" i="7" s="1"/>
  <c r="J525" i="7" s="1"/>
  <c r="H527" i="7"/>
  <c r="H526" i="7" s="1"/>
  <c r="H525" i="7" s="1"/>
  <c r="F527" i="7"/>
  <c r="F526" i="7" s="1"/>
  <c r="F525" i="7" s="1"/>
  <c r="AE982" i="2"/>
  <c r="AE981" i="2" s="1"/>
  <c r="AF982" i="2"/>
  <c r="AF981" i="2" s="1"/>
  <c r="AD982" i="2"/>
  <c r="AD981" i="2" s="1"/>
  <c r="F380" i="9" l="1"/>
  <c r="F379" i="9" s="1"/>
  <c r="F378" i="9" s="1"/>
  <c r="F377" i="9" s="1"/>
  <c r="F608" i="7"/>
  <c r="F607" i="7" s="1"/>
  <c r="F606" i="7" s="1"/>
  <c r="H608" i="7"/>
  <c r="H607" i="7" s="1"/>
  <c r="H606" i="7" s="1"/>
  <c r="D661" i="9"/>
  <c r="D660" i="9" s="1"/>
  <c r="D659" i="9" s="1"/>
  <c r="F661" i="9"/>
  <c r="F660" i="9" s="1"/>
  <c r="F659" i="9" s="1"/>
  <c r="E661" i="9"/>
  <c r="E660" i="9" s="1"/>
  <c r="E659" i="9" s="1"/>
  <c r="H221" i="7" l="1"/>
  <c r="H220" i="7" s="1"/>
  <c r="H216" i="7" s="1"/>
  <c r="AD476" i="2"/>
  <c r="J771" i="7" l="1"/>
  <c r="J770" i="7" s="1"/>
  <c r="H771" i="7"/>
  <c r="H770" i="7" s="1"/>
  <c r="F771" i="7"/>
  <c r="F770" i="7" s="1"/>
  <c r="AE392" i="2"/>
  <c r="AF392" i="2"/>
  <c r="AD392" i="2"/>
  <c r="AF391" i="2"/>
  <c r="AE391" i="2"/>
  <c r="J273" i="7"/>
  <c r="J272" i="7" s="1"/>
  <c r="H273" i="7"/>
  <c r="H272" i="7" s="1"/>
  <c r="F273" i="7"/>
  <c r="D341" i="9" s="1"/>
  <c r="D340" i="9" s="1"/>
  <c r="AE192" i="2"/>
  <c r="AF192" i="2"/>
  <c r="AD192" i="2"/>
  <c r="D572" i="9" l="1"/>
  <c r="D571" i="9" s="1"/>
  <c r="F272" i="7"/>
  <c r="E572" i="9"/>
  <c r="E571" i="9" s="1"/>
  <c r="F572" i="9"/>
  <c r="F571" i="9" s="1"/>
  <c r="E341" i="9"/>
  <c r="E340" i="9" s="1"/>
  <c r="F341" i="9"/>
  <c r="F340" i="9" s="1"/>
  <c r="AD750" i="2"/>
  <c r="K851" i="7" l="1"/>
  <c r="K850" i="7" s="1"/>
  <c r="K843" i="7" s="1"/>
  <c r="K842" i="7" l="1"/>
  <c r="K827" i="7" s="1"/>
  <c r="K826" i="7" s="1"/>
  <c r="K825" i="7" s="1"/>
  <c r="AF1085" i="2"/>
  <c r="AE1085" i="2"/>
  <c r="AD1085" i="2"/>
  <c r="J701" i="7"/>
  <c r="J700" i="7" s="1"/>
  <c r="J699" i="7" s="1"/>
  <c r="H701" i="7"/>
  <c r="E165" i="9" s="1"/>
  <c r="E164" i="9" s="1"/>
  <c r="E163" i="9" s="1"/>
  <c r="F701" i="7"/>
  <c r="D165" i="9" s="1"/>
  <c r="D164" i="9" s="1"/>
  <c r="D163" i="9" s="1"/>
  <c r="AE753" i="2"/>
  <c r="AE752" i="2" s="1"/>
  <c r="AF753" i="2"/>
  <c r="AF752" i="2" s="1"/>
  <c r="AD753" i="2"/>
  <c r="AD752" i="2" s="1"/>
  <c r="AF716" i="2"/>
  <c r="AE716" i="2"/>
  <c r="AF687" i="2"/>
  <c r="AE687" i="2"/>
  <c r="F161" i="9"/>
  <c r="F160" i="9" s="1"/>
  <c r="F159" i="9" s="1"/>
  <c r="F158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1" i="9" s="1"/>
  <c r="D160" i="9" s="1"/>
  <c r="D159" i="9" s="1"/>
  <c r="D158" i="9" s="1"/>
  <c r="AE749" i="2"/>
  <c r="AE748" i="2" s="1"/>
  <c r="AE747" i="2" s="1"/>
  <c r="AF749" i="2"/>
  <c r="AF748" i="2" s="1"/>
  <c r="AF747" i="2" s="1"/>
  <c r="AD749" i="2"/>
  <c r="AD748" i="2" s="1"/>
  <c r="AD747" i="2" s="1"/>
  <c r="K678" i="7"/>
  <c r="K677" i="7" s="1"/>
  <c r="J728" i="7"/>
  <c r="F86" i="9" s="1"/>
  <c r="F85" i="9" s="1"/>
  <c r="F84" i="9" s="1"/>
  <c r="F80" i="9" s="1"/>
  <c r="H728" i="7"/>
  <c r="H727" i="7" s="1"/>
  <c r="H726" i="7" s="1"/>
  <c r="H722" i="7" s="1"/>
  <c r="F728" i="7"/>
  <c r="G728" i="7" s="1"/>
  <c r="G727" i="7" s="1"/>
  <c r="G726" i="7" s="1"/>
  <c r="G722" i="7" s="1"/>
  <c r="AE373" i="2"/>
  <c r="AE372" i="2" s="1"/>
  <c r="AE368" i="2" s="1"/>
  <c r="AF373" i="2"/>
  <c r="AF372" i="2" s="1"/>
  <c r="AF368" i="2" s="1"/>
  <c r="AD373" i="2"/>
  <c r="AD372" i="2" s="1"/>
  <c r="AD368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7" i="2"/>
  <c r="AE376" i="2" s="1"/>
  <c r="AE375" i="2" s="1"/>
  <c r="AF377" i="2"/>
  <c r="AF376" i="2" s="1"/>
  <c r="AF375" i="2" s="1"/>
  <c r="AD378" i="2"/>
  <c r="F732" i="7" s="1"/>
  <c r="F731" i="7" s="1"/>
  <c r="F730" i="7" s="1"/>
  <c r="F729" i="7" s="1"/>
  <c r="AF439" i="2"/>
  <c r="AE439" i="2"/>
  <c r="AD439" i="2"/>
  <c r="AD377" i="2" l="1"/>
  <c r="AD376" i="2" s="1"/>
  <c r="AD375" i="2" s="1"/>
  <c r="F700" i="7"/>
  <c r="F699" i="7" s="1"/>
  <c r="G701" i="7"/>
  <c r="G700" i="7" s="1"/>
  <c r="G699" i="7" s="1"/>
  <c r="I701" i="7"/>
  <c r="I700" i="7" s="1"/>
  <c r="I699" i="7" s="1"/>
  <c r="F165" i="9"/>
  <c r="F164" i="9" s="1"/>
  <c r="F163" i="9" s="1"/>
  <c r="K701" i="7"/>
  <c r="K700" i="7" s="1"/>
  <c r="K699" i="7" s="1"/>
  <c r="H700" i="7"/>
  <c r="H699" i="7" s="1"/>
  <c r="F696" i="7"/>
  <c r="F695" i="7" s="1"/>
  <c r="F694" i="7" s="1"/>
  <c r="E161" i="9"/>
  <c r="E160" i="9" s="1"/>
  <c r="E159" i="9" s="1"/>
  <c r="E158" i="9" s="1"/>
  <c r="G717" i="7"/>
  <c r="F727" i="7"/>
  <c r="F726" i="7" s="1"/>
  <c r="F722" i="7" s="1"/>
  <c r="D86" i="9"/>
  <c r="D85" i="9" s="1"/>
  <c r="D84" i="9" s="1"/>
  <c r="D80" i="9" s="1"/>
  <c r="E86" i="9"/>
  <c r="E85" i="9" s="1"/>
  <c r="E84" i="9" s="1"/>
  <c r="E80" i="9" s="1"/>
  <c r="J727" i="7"/>
  <c r="J726" i="7" s="1"/>
  <c r="J722" i="7" s="1"/>
  <c r="E90" i="9"/>
  <c r="E89" i="9" s="1"/>
  <c r="E88" i="9" s="1"/>
  <c r="E87" i="9" s="1"/>
  <c r="F90" i="9"/>
  <c r="F89" i="9" s="1"/>
  <c r="F88" i="9" s="1"/>
  <c r="F87" i="9" s="1"/>
  <c r="D90" i="9"/>
  <c r="D89" i="9" s="1"/>
  <c r="D88" i="9" s="1"/>
  <c r="D87" i="9" s="1"/>
  <c r="AF732" i="2" l="1"/>
  <c r="AD732" i="2"/>
  <c r="AE942" i="2" l="1"/>
  <c r="AE996" i="2"/>
  <c r="H942" i="7" l="1"/>
  <c r="H941" i="7" s="1"/>
  <c r="H940" i="7" s="1"/>
  <c r="H939" i="7" s="1"/>
  <c r="H938" i="7" s="1"/>
  <c r="G716" i="7" l="1"/>
  <c r="G251" i="9"/>
  <c r="H251" i="9"/>
  <c r="I251" i="9"/>
  <c r="J251" i="9"/>
  <c r="K251" i="9"/>
  <c r="L251" i="9"/>
  <c r="M251" i="9"/>
  <c r="N251" i="9"/>
  <c r="O251" i="9"/>
  <c r="P251" i="9"/>
  <c r="Q251" i="9"/>
  <c r="R251" i="9"/>
  <c r="S251" i="9"/>
  <c r="T251" i="9"/>
  <c r="U251" i="9"/>
  <c r="V251" i="9"/>
  <c r="W251" i="9"/>
  <c r="X251" i="9"/>
  <c r="Y251" i="9"/>
  <c r="Z251" i="9"/>
  <c r="AA251" i="9"/>
  <c r="AB251" i="9"/>
  <c r="AC251" i="9"/>
  <c r="AD251" i="9"/>
  <c r="AF933" i="2" l="1"/>
  <c r="G134" i="9" l="1"/>
  <c r="H134" i="9"/>
  <c r="I134" i="9"/>
  <c r="J134" i="9"/>
  <c r="K134" i="9"/>
  <c r="L134" i="9"/>
  <c r="M134" i="9"/>
  <c r="N134" i="9"/>
  <c r="O134" i="9"/>
  <c r="P134" i="9"/>
  <c r="Q134" i="9"/>
  <c r="R134" i="9"/>
  <c r="S134" i="9"/>
  <c r="T134" i="9"/>
  <c r="U134" i="9"/>
  <c r="V134" i="9"/>
  <c r="W134" i="9"/>
  <c r="X134" i="9"/>
  <c r="Y134" i="9"/>
  <c r="Z134" i="9"/>
  <c r="AA134" i="9"/>
  <c r="AB134" i="9"/>
  <c r="AC134" i="9"/>
  <c r="AD134" i="9"/>
  <c r="AD970" i="2"/>
  <c r="AF587" i="2" l="1"/>
  <c r="AE587" i="2"/>
  <c r="AD587" i="2"/>
  <c r="I435" i="7" l="1"/>
  <c r="I434" i="7" s="1"/>
  <c r="K435" i="7"/>
  <c r="K434" i="7" s="1"/>
  <c r="J436" i="7"/>
  <c r="I438" i="7"/>
  <c r="I437" i="7" s="1"/>
  <c r="K438" i="7"/>
  <c r="K437" i="7" s="1"/>
  <c r="F436" i="7"/>
  <c r="F435" i="7" s="1"/>
  <c r="F439" i="7"/>
  <c r="F438" i="7" s="1"/>
  <c r="F437" i="7" s="1"/>
  <c r="I433" i="7" l="1"/>
  <c r="K433" i="7"/>
  <c r="F400" i="9"/>
  <c r="F399" i="9" s="1"/>
  <c r="F398" i="9" s="1"/>
  <c r="D403" i="9"/>
  <c r="D402" i="9" s="1"/>
  <c r="D401" i="9" s="1"/>
  <c r="J435" i="7"/>
  <c r="J434" i="7" s="1"/>
  <c r="D400" i="9"/>
  <c r="D399" i="9" s="1"/>
  <c r="D398" i="9" s="1"/>
  <c r="AE933" i="2"/>
  <c r="H436" i="7" s="1"/>
  <c r="E400" i="9" s="1"/>
  <c r="E399" i="9" s="1"/>
  <c r="E398" i="9" s="1"/>
  <c r="AD935" i="2"/>
  <c r="AD934" i="2" s="1"/>
  <c r="AF936" i="2"/>
  <c r="J439" i="7" s="1"/>
  <c r="F403" i="9" s="1"/>
  <c r="F402" i="9" s="1"/>
  <c r="F401" i="9" s="1"/>
  <c r="AE936" i="2"/>
  <c r="AF42" i="2"/>
  <c r="AF40" i="2"/>
  <c r="K425" i="7" l="1"/>
  <c r="K424" i="7" s="1"/>
  <c r="K418" i="7" s="1"/>
  <c r="K417" i="7" s="1"/>
  <c r="D397" i="9"/>
  <c r="AF39" i="2"/>
  <c r="F397" i="9"/>
  <c r="H435" i="7"/>
  <c r="H434" i="7" s="1"/>
  <c r="AE935" i="2"/>
  <c r="AE934" i="2" s="1"/>
  <c r="H439" i="7"/>
  <c r="J438" i="7"/>
  <c r="J437" i="7" s="1"/>
  <c r="J433" i="7" s="1"/>
  <c r="AF935" i="2"/>
  <c r="AF934" i="2" s="1"/>
  <c r="E403" i="9" l="1"/>
  <c r="E402" i="9" s="1"/>
  <c r="E401" i="9" s="1"/>
  <c r="E397" i="9" s="1"/>
  <c r="H438" i="7"/>
  <c r="H437" i="7" s="1"/>
  <c r="H433" i="7" s="1"/>
  <c r="AE42" i="2"/>
  <c r="AE40" i="2"/>
  <c r="G444" i="9"/>
  <c r="H444" i="9"/>
  <c r="I444" i="9"/>
  <c r="J444" i="9"/>
  <c r="K444" i="9"/>
  <c r="L444" i="9"/>
  <c r="M444" i="9"/>
  <c r="N444" i="9"/>
  <c r="O444" i="9"/>
  <c r="P444" i="9"/>
  <c r="Q444" i="9"/>
  <c r="R444" i="9"/>
  <c r="S444" i="9"/>
  <c r="T444" i="9"/>
  <c r="U444" i="9"/>
  <c r="V444" i="9"/>
  <c r="W444" i="9"/>
  <c r="X444" i="9"/>
  <c r="Y444" i="9"/>
  <c r="Z444" i="9"/>
  <c r="AA444" i="9"/>
  <c r="AB444" i="9"/>
  <c r="AC444" i="9"/>
  <c r="AD444" i="9"/>
  <c r="F864" i="7"/>
  <c r="AE39" i="2" l="1"/>
  <c r="AF895" i="2"/>
  <c r="AE895" i="2"/>
  <c r="G591" i="9" l="1"/>
  <c r="H591" i="9"/>
  <c r="I591" i="9"/>
  <c r="J591" i="9"/>
  <c r="K591" i="9"/>
  <c r="L591" i="9"/>
  <c r="M591" i="9"/>
  <c r="N591" i="9"/>
  <c r="O591" i="9"/>
  <c r="P591" i="9"/>
  <c r="Q591" i="9"/>
  <c r="R591" i="9"/>
  <c r="S591" i="9"/>
  <c r="T591" i="9"/>
  <c r="U591" i="9"/>
  <c r="V591" i="9"/>
  <c r="W591" i="9"/>
  <c r="X591" i="9"/>
  <c r="Y591" i="9"/>
  <c r="Z591" i="9"/>
  <c r="AA591" i="9"/>
  <c r="AB591" i="9"/>
  <c r="AC591" i="9"/>
  <c r="AD591" i="9"/>
  <c r="J354" i="7"/>
  <c r="H354" i="7"/>
  <c r="F354" i="7"/>
  <c r="H349" i="7"/>
  <c r="J349" i="7"/>
  <c r="F349" i="7"/>
  <c r="AE894" i="2"/>
  <c r="AE893" i="2" s="1"/>
  <c r="AE892" i="2" s="1"/>
  <c r="AE883" i="2" s="1"/>
  <c r="AF894" i="2"/>
  <c r="AF893" i="2" s="1"/>
  <c r="AF892" i="2" s="1"/>
  <c r="AF883" i="2" s="1"/>
  <c r="J348" i="7" l="1"/>
  <c r="H348" i="7"/>
  <c r="F353" i="7"/>
  <c r="F352" i="7" s="1"/>
  <c r="F351" i="7" s="1"/>
  <c r="F350" i="7" s="1"/>
  <c r="AD894" i="2"/>
  <c r="AD893" i="2" s="1"/>
  <c r="AD892" i="2" s="1"/>
  <c r="AD883" i="2" s="1"/>
  <c r="D615" i="9"/>
  <c r="D614" i="9" s="1"/>
  <c r="D613" i="9" s="1"/>
  <c r="D612" i="9" s="1"/>
  <c r="D611" i="9" s="1"/>
  <c r="E610" i="9"/>
  <c r="F610" i="9"/>
  <c r="F348" i="7"/>
  <c r="D610" i="9"/>
  <c r="F615" i="9"/>
  <c r="F614" i="9" s="1"/>
  <c r="F613" i="9" s="1"/>
  <c r="F612" i="9" s="1"/>
  <c r="F611" i="9" s="1"/>
  <c r="J353" i="7"/>
  <c r="J352" i="7" s="1"/>
  <c r="J351" i="7" s="1"/>
  <c r="J350" i="7" s="1"/>
  <c r="E615" i="9"/>
  <c r="E614" i="9" s="1"/>
  <c r="E613" i="9" s="1"/>
  <c r="E612" i="9" s="1"/>
  <c r="E611" i="9" s="1"/>
  <c r="H353" i="7"/>
  <c r="H352" i="7" s="1"/>
  <c r="H351" i="7" s="1"/>
  <c r="H350" i="7" s="1"/>
  <c r="J146" i="7"/>
  <c r="H146" i="7"/>
  <c r="J515" i="7"/>
  <c r="H515" i="7"/>
  <c r="F515" i="7" l="1"/>
  <c r="D649" i="9" s="1"/>
  <c r="AE336" i="2"/>
  <c r="AE335" i="2" s="1"/>
  <c r="AE334" i="2" s="1"/>
  <c r="AE333" i="2" s="1"/>
  <c r="AE332" i="2" s="1"/>
  <c r="AE330" i="2"/>
  <c r="AE329" i="2" s="1"/>
  <c r="AE328" i="2" s="1"/>
  <c r="AE327" i="2" s="1"/>
  <c r="AF113" i="2" l="1"/>
  <c r="AE266" i="2"/>
  <c r="AE265" i="2" s="1"/>
  <c r="AE264" i="2" s="1"/>
  <c r="AE262" i="2"/>
  <c r="AE261" i="2" s="1"/>
  <c r="AE260" i="2" s="1"/>
  <c r="AE258" i="2"/>
  <c r="AE257" i="2" s="1"/>
  <c r="AE256" i="2" s="1"/>
  <c r="AD262" i="2"/>
  <c r="AD261" i="2" s="1"/>
  <c r="AD260" i="2" s="1"/>
  <c r="AD266" i="2"/>
  <c r="AD265" i="2" s="1"/>
  <c r="AD264" i="2" s="1"/>
  <c r="F372" i="7"/>
  <c r="F376" i="7"/>
  <c r="F375" i="7" s="1"/>
  <c r="F374" i="7" s="1"/>
  <c r="F373" i="7" s="1"/>
  <c r="F380" i="7" l="1"/>
  <c r="F379" i="7" s="1"/>
  <c r="F378" i="7" s="1"/>
  <c r="F377" i="7" s="1"/>
  <c r="J619" i="7" l="1"/>
  <c r="J618" i="7" s="1"/>
  <c r="J617" i="7" s="1"/>
  <c r="J616" i="7" s="1"/>
  <c r="J615" i="7" s="1"/>
  <c r="J614" i="7" s="1"/>
  <c r="J613" i="7" s="1"/>
  <c r="F42" i="10" s="1"/>
  <c r="H619" i="7"/>
  <c r="H618" i="7" s="1"/>
  <c r="H617" i="7" s="1"/>
  <c r="H616" i="7" s="1"/>
  <c r="H615" i="7" s="1"/>
  <c r="H614" i="7" s="1"/>
  <c r="H613" i="7" s="1"/>
  <c r="E42" i="10" s="1"/>
  <c r="F619" i="7"/>
  <c r="F618" i="7" s="1"/>
  <c r="F617" i="7" s="1"/>
  <c r="F616" i="7" s="1"/>
  <c r="F615" i="7" s="1"/>
  <c r="F614" i="7" s="1"/>
  <c r="F613" i="7" s="1"/>
  <c r="D42" i="10" s="1"/>
  <c r="AF358" i="2"/>
  <c r="AF357" i="2" s="1"/>
  <c r="AF356" i="2" s="1"/>
  <c r="AF355" i="2" s="1"/>
  <c r="AF354" i="2" s="1"/>
  <c r="AF353" i="2" s="1"/>
  <c r="AF352" i="2" s="1"/>
  <c r="AE358" i="2"/>
  <c r="AE357" i="2" s="1"/>
  <c r="AE356" i="2" s="1"/>
  <c r="AE355" i="2" s="1"/>
  <c r="AE354" i="2" s="1"/>
  <c r="AE353" i="2" s="1"/>
  <c r="AE352" i="2" s="1"/>
  <c r="AD358" i="2"/>
  <c r="AD357" i="2" s="1"/>
  <c r="AD356" i="2" s="1"/>
  <c r="AD355" i="2" s="1"/>
  <c r="AD354" i="2" s="1"/>
  <c r="AD353" i="2" s="1"/>
  <c r="AD352" i="2" s="1"/>
  <c r="D279" i="9" l="1"/>
  <c r="D278" i="9" s="1"/>
  <c r="D277" i="9" s="1"/>
  <c r="D276" i="9" s="1"/>
  <c r="D275" i="9" s="1"/>
  <c r="D274" i="9" s="1"/>
  <c r="E279" i="9"/>
  <c r="E278" i="9" s="1"/>
  <c r="E277" i="9" s="1"/>
  <c r="E276" i="9" s="1"/>
  <c r="E275" i="9" s="1"/>
  <c r="E274" i="9" s="1"/>
  <c r="F279" i="9"/>
  <c r="F278" i="9" s="1"/>
  <c r="F277" i="9" s="1"/>
  <c r="F276" i="9" s="1"/>
  <c r="F275" i="9" s="1"/>
  <c r="F274" i="9" s="1"/>
  <c r="AE475" i="2" l="1"/>
  <c r="AE474" i="2" s="1"/>
  <c r="AE473" i="2" s="1"/>
  <c r="AE472" i="2" s="1"/>
  <c r="AE471" i="2" s="1"/>
  <c r="AE470" i="2" s="1"/>
  <c r="AF475" i="2"/>
  <c r="AF474" i="2" s="1"/>
  <c r="AF473" i="2" s="1"/>
  <c r="AF472" i="2" s="1"/>
  <c r="AF471" i="2" s="1"/>
  <c r="AF470" i="2" s="1"/>
  <c r="G679" i="9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888" i="7"/>
  <c r="J887" i="7" s="1"/>
  <c r="J886" i="7" s="1"/>
  <c r="J885" i="7" s="1"/>
  <c r="J884" i="7" s="1"/>
  <c r="J883" i="7" s="1"/>
  <c r="J882" i="7" s="1"/>
  <c r="H888" i="7"/>
  <c r="E682" i="9" s="1"/>
  <c r="E681" i="9" s="1"/>
  <c r="E680" i="9" s="1"/>
  <c r="E679" i="9" s="1"/>
  <c r="F888" i="7"/>
  <c r="F887" i="7" s="1"/>
  <c r="F886" i="7" s="1"/>
  <c r="F885" i="7" s="1"/>
  <c r="F884" i="7" s="1"/>
  <c r="F883" i="7" s="1"/>
  <c r="F882" i="7" s="1"/>
  <c r="AD475" i="2"/>
  <c r="AD474" i="2" s="1"/>
  <c r="AD473" i="2" s="1"/>
  <c r="AD472" i="2" s="1"/>
  <c r="AD471" i="2" s="1"/>
  <c r="AD470" i="2" s="1"/>
  <c r="H887" i="7" l="1"/>
  <c r="H886" i="7" s="1"/>
  <c r="H885" i="7" s="1"/>
  <c r="H884" i="7" s="1"/>
  <c r="H883" i="7" s="1"/>
  <c r="H882" i="7" s="1"/>
  <c r="D682" i="9"/>
  <c r="D681" i="9" s="1"/>
  <c r="D680" i="9" s="1"/>
  <c r="D679" i="9" s="1"/>
  <c r="F682" i="9"/>
  <c r="F681" i="9" s="1"/>
  <c r="F680" i="9" s="1"/>
  <c r="F679" i="9" s="1"/>
  <c r="AF55" i="2" l="1"/>
  <c r="AE55" i="2"/>
  <c r="J105" i="7"/>
  <c r="H105" i="7"/>
  <c r="F105" i="7"/>
  <c r="AF122" i="2" l="1"/>
  <c r="J199" i="7" s="1"/>
  <c r="J198" i="7" s="1"/>
  <c r="J197" i="7" s="1"/>
  <c r="J196" i="7" s="1"/>
  <c r="AE122" i="2"/>
  <c r="H199" i="7" s="1"/>
  <c r="H198" i="7" s="1"/>
  <c r="H197" i="7" s="1"/>
  <c r="H196" i="7" s="1"/>
  <c r="F199" i="7"/>
  <c r="F198" i="7" s="1"/>
  <c r="F197" i="7" s="1"/>
  <c r="F196" i="7" s="1"/>
  <c r="AE1101" i="2"/>
  <c r="AE1100" i="2" s="1"/>
  <c r="AE1099" i="2" s="1"/>
  <c r="AE1098" i="2" s="1"/>
  <c r="AE1097" i="2" s="1"/>
  <c r="AF1101" i="2"/>
  <c r="AF1100" i="2" s="1"/>
  <c r="AF1099" i="2" s="1"/>
  <c r="AF1098" i="2" s="1"/>
  <c r="AF1097" i="2" s="1"/>
  <c r="AD1101" i="2"/>
  <c r="AD1100" i="2" s="1"/>
  <c r="AD1099" i="2" s="1"/>
  <c r="AD1098" i="2" s="1"/>
  <c r="AD1097" i="2" s="1"/>
  <c r="J967" i="7"/>
  <c r="J966" i="7" s="1"/>
  <c r="H967" i="7"/>
  <c r="H966" i="7" s="1"/>
  <c r="F967" i="7"/>
  <c r="D260" i="9" s="1"/>
  <c r="D259" i="9" s="1"/>
  <c r="D258" i="9" s="1"/>
  <c r="D257" i="9" s="1"/>
  <c r="AE1092" i="2"/>
  <c r="AE1091" i="2" s="1"/>
  <c r="AE1090" i="2" s="1"/>
  <c r="AE1089" i="2" s="1"/>
  <c r="AE1088" i="2" s="1"/>
  <c r="AE1087" i="2" s="1"/>
  <c r="AE1086" i="2" s="1"/>
  <c r="AF1092" i="2"/>
  <c r="AF1091" i="2" s="1"/>
  <c r="AF1090" i="2" s="1"/>
  <c r="AF1089" i="2" s="1"/>
  <c r="AF1088" i="2" s="1"/>
  <c r="AF1087" i="2" s="1"/>
  <c r="AF1086" i="2" s="1"/>
  <c r="AD1092" i="2"/>
  <c r="AD1091" i="2" s="1"/>
  <c r="AD1090" i="2" s="1"/>
  <c r="AD1089" i="2" s="1"/>
  <c r="AD1088" i="2" s="1"/>
  <c r="AD1087" i="2" s="1"/>
  <c r="AD1086" i="2" s="1"/>
  <c r="J965" i="7" l="1"/>
  <c r="J964" i="7" s="1"/>
  <c r="H965" i="7"/>
  <c r="H964" i="7" s="1"/>
  <c r="AF121" i="2"/>
  <c r="AF120" i="2" s="1"/>
  <c r="AF119" i="2" s="1"/>
  <c r="AE121" i="2"/>
  <c r="AE120" i="2" s="1"/>
  <c r="AE119" i="2" s="1"/>
  <c r="AD121" i="2"/>
  <c r="AD120" i="2" s="1"/>
  <c r="AD119" i="2" s="1"/>
  <c r="F966" i="7"/>
  <c r="E260" i="9"/>
  <c r="E259" i="9" s="1"/>
  <c r="E258" i="9" s="1"/>
  <c r="E257" i="9" s="1"/>
  <c r="F260" i="9"/>
  <c r="F259" i="9" s="1"/>
  <c r="F258" i="9" s="1"/>
  <c r="F257" i="9" s="1"/>
  <c r="F965" i="7" l="1"/>
  <c r="F964" i="7" s="1"/>
  <c r="AF708" i="2"/>
  <c r="AD681" i="2"/>
  <c r="AE708" i="2" l="1"/>
  <c r="AF681" i="2"/>
  <c r="AE681" i="2"/>
  <c r="G482" i="7" l="1"/>
  <c r="J249" i="7"/>
  <c r="F330" i="9" s="1"/>
  <c r="F329" i="9" s="1"/>
  <c r="F328" i="9" s="1"/>
  <c r="F327" i="9" s="1"/>
  <c r="H249" i="7"/>
  <c r="E330" i="9" s="1"/>
  <c r="E329" i="9" s="1"/>
  <c r="E328" i="9" s="1"/>
  <c r="E327" i="9" s="1"/>
  <c r="F249" i="7"/>
  <c r="D330" i="9" s="1"/>
  <c r="D329" i="9" s="1"/>
  <c r="D328" i="9" s="1"/>
  <c r="D327" i="9" s="1"/>
  <c r="AE168" i="2"/>
  <c r="AE167" i="2" s="1"/>
  <c r="AE166" i="2" s="1"/>
  <c r="AF168" i="2"/>
  <c r="AF167" i="2" s="1"/>
  <c r="AF166" i="2" s="1"/>
  <c r="AD168" i="2"/>
  <c r="AD167" i="2" s="1"/>
  <c r="AD166" i="2" s="1"/>
  <c r="J280" i="7"/>
  <c r="H280" i="7"/>
  <c r="F280" i="7"/>
  <c r="F248" i="7" l="1"/>
  <c r="F247" i="7" s="1"/>
  <c r="F246" i="7" s="1"/>
  <c r="J248" i="7"/>
  <c r="J247" i="7" s="1"/>
  <c r="J246" i="7" s="1"/>
  <c r="H248" i="7"/>
  <c r="H247" i="7" s="1"/>
  <c r="H246" i="7" s="1"/>
  <c r="I910" i="7" l="1"/>
  <c r="I909" i="7" s="1"/>
  <c r="I908" i="7" s="1"/>
  <c r="I907" i="7" s="1"/>
  <c r="J911" i="7"/>
  <c r="F374" i="9" s="1"/>
  <c r="F373" i="9" s="1"/>
  <c r="F372" i="9" s="1"/>
  <c r="F371" i="9" s="1"/>
  <c r="F370" i="9" s="1"/>
  <c r="H911" i="7"/>
  <c r="E374" i="9" s="1"/>
  <c r="E373" i="9" s="1"/>
  <c r="E372" i="9" s="1"/>
  <c r="E371" i="9" s="1"/>
  <c r="E370" i="9" s="1"/>
  <c r="F911" i="7"/>
  <c r="D374" i="9" s="1"/>
  <c r="D373" i="9" s="1"/>
  <c r="D372" i="9" s="1"/>
  <c r="D371" i="9" s="1"/>
  <c r="D370" i="9" s="1"/>
  <c r="AE1074" i="2"/>
  <c r="AE1073" i="2" s="1"/>
  <c r="AE1072" i="2" s="1"/>
  <c r="AE1071" i="2" s="1"/>
  <c r="AE1070" i="2" s="1"/>
  <c r="AE1069" i="2" s="1"/>
  <c r="AF1074" i="2"/>
  <c r="AF1073" i="2" s="1"/>
  <c r="AF1072" i="2" s="1"/>
  <c r="AF1071" i="2" s="1"/>
  <c r="AF1070" i="2" s="1"/>
  <c r="AF1069" i="2" s="1"/>
  <c r="AD1074" i="2"/>
  <c r="AD1073" i="2" s="1"/>
  <c r="AD1072" i="2" s="1"/>
  <c r="AD1071" i="2" s="1"/>
  <c r="AD1070" i="2" s="1"/>
  <c r="AD1069" i="2" s="1"/>
  <c r="AF693" i="2"/>
  <c r="AE693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19" i="2"/>
  <c r="AE719" i="2"/>
  <c r="AD719" i="2"/>
  <c r="AF774" i="2"/>
  <c r="AE774" i="2"/>
  <c r="F707" i="7" l="1"/>
  <c r="E433" i="9"/>
  <c r="E432" i="9" s="1"/>
  <c r="F433" i="9"/>
  <c r="F432" i="9" s="1"/>
  <c r="G432" i="9"/>
  <c r="H432" i="9"/>
  <c r="I432" i="9"/>
  <c r="J432" i="9"/>
  <c r="K432" i="9"/>
  <c r="L432" i="9"/>
  <c r="M432" i="9"/>
  <c r="N432" i="9"/>
  <c r="O432" i="9"/>
  <c r="P432" i="9"/>
  <c r="Q432" i="9"/>
  <c r="R432" i="9"/>
  <c r="S432" i="9"/>
  <c r="T432" i="9"/>
  <c r="U432" i="9"/>
  <c r="V432" i="9"/>
  <c r="W432" i="9"/>
  <c r="X432" i="9"/>
  <c r="Y432" i="9"/>
  <c r="Z432" i="9"/>
  <c r="AA432" i="9"/>
  <c r="AB432" i="9"/>
  <c r="AC432" i="9"/>
  <c r="AD432" i="9"/>
  <c r="J469" i="7"/>
  <c r="J468" i="7" s="1"/>
  <c r="H469" i="7"/>
  <c r="H468" i="7" s="1"/>
  <c r="AE960" i="2"/>
  <c r="AF960" i="2"/>
  <c r="F428" i="9" l="1"/>
  <c r="F427" i="9" s="1"/>
  <c r="E428" i="9"/>
  <c r="E427" i="9" s="1"/>
  <c r="AD960" i="2"/>
  <c r="G464" i="7"/>
  <c r="G463" i="7" s="1"/>
  <c r="J464" i="7"/>
  <c r="J463" i="7" s="1"/>
  <c r="H464" i="7"/>
  <c r="H463" i="7" s="1"/>
  <c r="D434" i="9"/>
  <c r="D433" i="9" s="1"/>
  <c r="D432" i="9" s="1"/>
  <c r="F469" i="7"/>
  <c r="F468" i="7" s="1"/>
  <c r="G167" i="9"/>
  <c r="H167" i="9"/>
  <c r="I167" i="9"/>
  <c r="J167" i="9"/>
  <c r="K167" i="9"/>
  <c r="L167" i="9"/>
  <c r="M167" i="9"/>
  <c r="N167" i="9"/>
  <c r="O167" i="9"/>
  <c r="P167" i="9"/>
  <c r="Q167" i="9"/>
  <c r="R167" i="9"/>
  <c r="S167" i="9"/>
  <c r="T167" i="9"/>
  <c r="U167" i="9"/>
  <c r="V167" i="9"/>
  <c r="W167" i="9"/>
  <c r="X167" i="9"/>
  <c r="Y167" i="9"/>
  <c r="Z167" i="9"/>
  <c r="AA167" i="9"/>
  <c r="AB167" i="9"/>
  <c r="AC167" i="9"/>
  <c r="AD167" i="9"/>
  <c r="J704" i="7"/>
  <c r="H704" i="7"/>
  <c r="F704" i="7"/>
  <c r="F703" i="7" s="1"/>
  <c r="F702" i="7" s="1"/>
  <c r="AE756" i="2"/>
  <c r="AE755" i="2" s="1"/>
  <c r="AF756" i="2"/>
  <c r="AF755" i="2" s="1"/>
  <c r="AD756" i="2"/>
  <c r="AD755" i="2" s="1"/>
  <c r="J937" i="7"/>
  <c r="D428" i="9" l="1"/>
  <c r="D427" i="9" s="1"/>
  <c r="F464" i="7"/>
  <c r="F463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8" i="9"/>
  <c r="F167" i="9" s="1"/>
  <c r="F166" i="9" s="1"/>
  <c r="G704" i="7"/>
  <c r="G703" i="7" s="1"/>
  <c r="G702" i="7" s="1"/>
  <c r="D168" i="9"/>
  <c r="D167" i="9" s="1"/>
  <c r="D166" i="9" s="1"/>
  <c r="E168" i="9"/>
  <c r="E167" i="9" s="1"/>
  <c r="E166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1" i="9"/>
  <c r="H131" i="9"/>
  <c r="I131" i="9"/>
  <c r="J131" i="9"/>
  <c r="K131" i="9"/>
  <c r="L131" i="9"/>
  <c r="M131" i="9"/>
  <c r="N131" i="9"/>
  <c r="O131" i="9"/>
  <c r="P131" i="9"/>
  <c r="Q131" i="9"/>
  <c r="R131" i="9"/>
  <c r="S131" i="9"/>
  <c r="T131" i="9"/>
  <c r="U131" i="9"/>
  <c r="V131" i="9"/>
  <c r="W131" i="9"/>
  <c r="X131" i="9"/>
  <c r="Y131" i="9"/>
  <c r="Z131" i="9"/>
  <c r="AA131" i="9"/>
  <c r="AB131" i="9"/>
  <c r="AC131" i="9"/>
  <c r="AD131" i="9"/>
  <c r="AF692" i="2"/>
  <c r="AF691" i="2" s="1"/>
  <c r="H640" i="7"/>
  <c r="E133" i="9" s="1"/>
  <c r="AD692" i="2"/>
  <c r="AD691" i="2" s="1"/>
  <c r="AE692" i="2"/>
  <c r="AE691" i="2" s="1"/>
  <c r="AE724" i="2"/>
  <c r="AE723" i="2" s="1"/>
  <c r="AF724" i="2"/>
  <c r="AF723" i="2" s="1"/>
  <c r="AD724" i="2"/>
  <c r="AD723" i="2" s="1"/>
  <c r="F672" i="7" l="1"/>
  <c r="G672" i="7" s="1"/>
  <c r="G671" i="7" s="1"/>
  <c r="G670" i="7" s="1"/>
  <c r="F640" i="7"/>
  <c r="J640" i="7"/>
  <c r="H671" i="7"/>
  <c r="H670" i="7" s="1"/>
  <c r="J671" i="7"/>
  <c r="J670" i="7" s="1"/>
  <c r="H639" i="7"/>
  <c r="H638" i="7" s="1"/>
  <c r="E132" i="9"/>
  <c r="E131" i="9" s="1"/>
  <c r="I640" i="7"/>
  <c r="I639" i="7" s="1"/>
  <c r="I638" i="7" s="1"/>
  <c r="K640" i="7" l="1"/>
  <c r="K639" i="7" s="1"/>
  <c r="K638" i="7" s="1"/>
  <c r="F133" i="9"/>
  <c r="F639" i="7"/>
  <c r="F638" i="7" s="1"/>
  <c r="D133" i="9"/>
  <c r="G640" i="7"/>
  <c r="G639" i="7" s="1"/>
  <c r="G638" i="7" s="1"/>
  <c r="F132" i="9"/>
  <c r="F131" i="9" s="1"/>
  <c r="J639" i="7"/>
  <c r="J638" i="7" s="1"/>
  <c r="D132" i="9"/>
  <c r="D131" i="9" s="1"/>
  <c r="F671" i="7"/>
  <c r="F670" i="7" s="1"/>
  <c r="AE759" i="2"/>
  <c r="AE758" i="2" s="1"/>
  <c r="AE751" i="2" s="1"/>
  <c r="AF759" i="2"/>
  <c r="AF758" i="2" s="1"/>
  <c r="AF751" i="2" s="1"/>
  <c r="AD759" i="2"/>
  <c r="AD758" i="2" s="1"/>
  <c r="AD751" i="2" s="1"/>
  <c r="G707" i="7"/>
  <c r="G162" i="9"/>
  <c r="G92" i="9" s="1"/>
  <c r="H162" i="9"/>
  <c r="H92" i="9" s="1"/>
  <c r="I162" i="9"/>
  <c r="I92" i="9" s="1"/>
  <c r="J162" i="9"/>
  <c r="J92" i="9" s="1"/>
  <c r="K162" i="9"/>
  <c r="K92" i="9" s="1"/>
  <c r="L162" i="9"/>
  <c r="L92" i="9" s="1"/>
  <c r="M162" i="9"/>
  <c r="M92" i="9" s="1"/>
  <c r="N162" i="9"/>
  <c r="N92" i="9" s="1"/>
  <c r="O162" i="9"/>
  <c r="O92" i="9" s="1"/>
  <c r="P162" i="9"/>
  <c r="P92" i="9" s="1"/>
  <c r="Q162" i="9"/>
  <c r="Q92" i="9" s="1"/>
  <c r="R162" i="9"/>
  <c r="R92" i="9" s="1"/>
  <c r="S162" i="9"/>
  <c r="S92" i="9" s="1"/>
  <c r="T162" i="9"/>
  <c r="T92" i="9" s="1"/>
  <c r="U162" i="9"/>
  <c r="U92" i="9" s="1"/>
  <c r="V162" i="9"/>
  <c r="V92" i="9" s="1"/>
  <c r="W162" i="9"/>
  <c r="W92" i="9" s="1"/>
  <c r="X162" i="9"/>
  <c r="X92" i="9" s="1"/>
  <c r="Y162" i="9"/>
  <c r="Y92" i="9" s="1"/>
  <c r="Z162" i="9"/>
  <c r="Z92" i="9" s="1"/>
  <c r="AA162" i="9"/>
  <c r="AA92" i="9" s="1"/>
  <c r="AB162" i="9"/>
  <c r="AB92" i="9" s="1"/>
  <c r="AC162" i="9"/>
  <c r="AC92" i="9" s="1"/>
  <c r="AD162" i="9"/>
  <c r="AD92" i="9" s="1"/>
  <c r="F171" i="9"/>
  <c r="F170" i="9" s="1"/>
  <c r="F169" i="9" s="1"/>
  <c r="F162" i="9" s="1"/>
  <c r="E171" i="9"/>
  <c r="E170" i="9" s="1"/>
  <c r="E169" i="9" s="1"/>
  <c r="E162" i="9" s="1"/>
  <c r="D171" i="9"/>
  <c r="D170" i="9" s="1"/>
  <c r="D169" i="9" s="1"/>
  <c r="D162" i="9" s="1"/>
  <c r="E130" i="9"/>
  <c r="E129" i="9" s="1"/>
  <c r="E128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21" i="2"/>
  <c r="AE720" i="2" s="1"/>
  <c r="AF721" i="2"/>
  <c r="AF720" i="2" s="1"/>
  <c r="F669" i="7"/>
  <c r="AD721" i="2" l="1"/>
  <c r="AD720" i="2" s="1"/>
  <c r="F668" i="7"/>
  <c r="F667" i="7" s="1"/>
  <c r="D130" i="9"/>
  <c r="D129" i="9" s="1"/>
  <c r="D128" i="9" s="1"/>
  <c r="J668" i="7"/>
  <c r="J667" i="7" s="1"/>
  <c r="F130" i="9"/>
  <c r="F129" i="9" s="1"/>
  <c r="F128" i="9" s="1"/>
  <c r="G669" i="7"/>
  <c r="G668" i="7" s="1"/>
  <c r="G667" i="7" s="1"/>
  <c r="H542" i="7"/>
  <c r="K541" i="7"/>
  <c r="K540" i="7" s="1"/>
  <c r="I541" i="7"/>
  <c r="I540" i="7" s="1"/>
  <c r="I533" i="7" s="1"/>
  <c r="F542" i="7"/>
  <c r="AF996" i="2"/>
  <c r="AF995" i="2" s="1"/>
  <c r="AF994" i="2" s="1"/>
  <c r="AD995" i="2"/>
  <c r="AD994" i="2" s="1"/>
  <c r="AF932" i="2"/>
  <c r="AF931" i="2" s="1"/>
  <c r="AF930" i="2" s="1"/>
  <c r="K533" i="7" l="1"/>
  <c r="K517" i="7" s="1"/>
  <c r="K516" i="7" s="1"/>
  <c r="K483" i="7" s="1"/>
  <c r="J542" i="7"/>
  <c r="H541" i="7"/>
  <c r="H540" i="7" s="1"/>
  <c r="E676" i="9"/>
  <c r="E675" i="9" s="1"/>
  <c r="E674" i="9" s="1"/>
  <c r="F541" i="7"/>
  <c r="F540" i="7" s="1"/>
  <c r="D676" i="9"/>
  <c r="D675" i="9" s="1"/>
  <c r="D674" i="9" s="1"/>
  <c r="AE995" i="2"/>
  <c r="AE994" i="2" s="1"/>
  <c r="F434" i="7"/>
  <c r="F433" i="7" s="1"/>
  <c r="AD932" i="2"/>
  <c r="AD931" i="2" s="1"/>
  <c r="AD930" i="2" s="1"/>
  <c r="AD1060" i="2"/>
  <c r="AF828" i="2"/>
  <c r="J815" i="7" s="1"/>
  <c r="AE828" i="2"/>
  <c r="H815" i="7" s="1"/>
  <c r="AF409" i="2"/>
  <c r="AE409" i="2"/>
  <c r="AF831" i="2"/>
  <c r="J818" i="7" s="1"/>
  <c r="AE831" i="2"/>
  <c r="H818" i="7" s="1"/>
  <c r="J541" i="7" l="1"/>
  <c r="J540" i="7" s="1"/>
  <c r="F676" i="9"/>
  <c r="F675" i="9" s="1"/>
  <c r="F674" i="9" s="1"/>
  <c r="AE932" i="2"/>
  <c r="AE931" i="2" s="1"/>
  <c r="AE930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16" i="9"/>
  <c r="H716" i="9"/>
  <c r="I716" i="9"/>
  <c r="J716" i="9"/>
  <c r="K716" i="9"/>
  <c r="L716" i="9"/>
  <c r="M716" i="9"/>
  <c r="N716" i="9"/>
  <c r="O716" i="9"/>
  <c r="P716" i="9"/>
  <c r="Q716" i="9"/>
  <c r="R716" i="9"/>
  <c r="S716" i="9"/>
  <c r="T716" i="9"/>
  <c r="U716" i="9"/>
  <c r="V716" i="9"/>
  <c r="W716" i="9"/>
  <c r="X716" i="9"/>
  <c r="Y716" i="9"/>
  <c r="Z716" i="9"/>
  <c r="AA716" i="9"/>
  <c r="AB716" i="9"/>
  <c r="AC716" i="9"/>
  <c r="AD716" i="9"/>
  <c r="G481" i="7"/>
  <c r="G480" i="7" s="1"/>
  <c r="G479" i="7" s="1"/>
  <c r="G478" i="7" s="1"/>
  <c r="G477" i="7" s="1"/>
  <c r="J482" i="7"/>
  <c r="F717" i="9" s="1"/>
  <c r="AF969" i="2"/>
  <c r="AF968" i="2" s="1"/>
  <c r="AF967" i="2" s="1"/>
  <c r="AF966" i="2" s="1"/>
  <c r="AF965" i="2" s="1"/>
  <c r="H482" i="7"/>
  <c r="AD969" i="2"/>
  <c r="AD968" i="2" s="1"/>
  <c r="AD967" i="2" s="1"/>
  <c r="AD966" i="2" s="1"/>
  <c r="AD965" i="2" s="1"/>
  <c r="I517" i="7" l="1"/>
  <c r="I516" i="7" s="1"/>
  <c r="I483" i="7" s="1"/>
  <c r="E717" i="9"/>
  <c r="E716" i="9" s="1"/>
  <c r="E715" i="9" s="1"/>
  <c r="J481" i="7"/>
  <c r="J480" i="7" s="1"/>
  <c r="J479" i="7" s="1"/>
  <c r="J478" i="7" s="1"/>
  <c r="J477" i="7" s="1"/>
  <c r="F716" i="9"/>
  <c r="F715" i="9" s="1"/>
  <c r="AE969" i="2"/>
  <c r="AE968" i="2" s="1"/>
  <c r="AE967" i="2" s="1"/>
  <c r="AE966" i="2" s="1"/>
  <c r="AE965" i="2" s="1"/>
  <c r="F482" i="7"/>
  <c r="H481" i="7"/>
  <c r="H480" i="7" s="1"/>
  <c r="H479" i="7" s="1"/>
  <c r="H478" i="7" s="1"/>
  <c r="H477" i="7" s="1"/>
  <c r="D717" i="9" l="1"/>
  <c r="D716" i="9" s="1"/>
  <c r="D715" i="9" s="1"/>
  <c r="F481" i="7"/>
  <c r="F480" i="7" s="1"/>
  <c r="F479" i="7" s="1"/>
  <c r="F478" i="7" s="1"/>
  <c r="F477" i="7" s="1"/>
  <c r="J579" i="7" l="1"/>
  <c r="J578" i="7" s="1"/>
  <c r="J577" i="7" s="1"/>
  <c r="J576" i="7" s="1"/>
  <c r="J575" i="7" s="1"/>
  <c r="J574" i="7" s="1"/>
  <c r="H579" i="7"/>
  <c r="H578" i="7" s="1"/>
  <c r="H577" i="7" s="1"/>
  <c r="H576" i="7" s="1"/>
  <c r="H575" i="7" s="1"/>
  <c r="H574" i="7" s="1"/>
  <c r="F579" i="7"/>
  <c r="F578" i="7" s="1"/>
  <c r="F577" i="7" s="1"/>
  <c r="F576" i="7" s="1"/>
  <c r="F575" i="7" s="1"/>
  <c r="F574" i="7" s="1"/>
  <c r="AD1026" i="2"/>
  <c r="AD1025" i="2" s="1"/>
  <c r="AD1024" i="2" s="1"/>
  <c r="AD1023" i="2" s="1"/>
  <c r="AD1022" i="2" s="1"/>
  <c r="AF1026" i="2"/>
  <c r="AF1025" i="2" s="1"/>
  <c r="AF1024" i="2" s="1"/>
  <c r="AF1023" i="2" s="1"/>
  <c r="AF1022" i="2" s="1"/>
  <c r="AE1026" i="2"/>
  <c r="AE1025" i="2" s="1"/>
  <c r="AE1024" i="2" s="1"/>
  <c r="AE1023" i="2" s="1"/>
  <c r="AE1022" i="2" s="1"/>
  <c r="G454" i="7" l="1"/>
  <c r="G453" i="7" s="1"/>
  <c r="G449" i="7" s="1"/>
  <c r="J455" i="7"/>
  <c r="F419" i="9" s="1"/>
  <c r="F418" i="9" s="1"/>
  <c r="F417" i="9" s="1"/>
  <c r="F413" i="9" s="1"/>
  <c r="H455" i="7"/>
  <c r="H454" i="7" s="1"/>
  <c r="H453" i="7" s="1"/>
  <c r="H449" i="7" s="1"/>
  <c r="F455" i="7"/>
  <c r="F454" i="7" l="1"/>
  <c r="F453" i="7" s="1"/>
  <c r="F449" i="7" s="1"/>
  <c r="J454" i="7"/>
  <c r="J453" i="7" s="1"/>
  <c r="J449" i="7" s="1"/>
  <c r="E419" i="9"/>
  <c r="E418" i="9" s="1"/>
  <c r="E417" i="9" s="1"/>
  <c r="E413" i="9" s="1"/>
  <c r="D419" i="9"/>
  <c r="D418" i="9" s="1"/>
  <c r="D417" i="9" s="1"/>
  <c r="D413" i="9" s="1"/>
  <c r="AE951" i="2"/>
  <c r="AE950" i="2" s="1"/>
  <c r="AE946" i="2" s="1"/>
  <c r="AF951" i="2"/>
  <c r="AF950" i="2" s="1"/>
  <c r="AF946" i="2" s="1"/>
  <c r="AD951" i="2"/>
  <c r="AD950" i="2" s="1"/>
  <c r="AD946" i="2" s="1"/>
  <c r="G444" i="7"/>
  <c r="G443" i="7" s="1"/>
  <c r="I444" i="7"/>
  <c r="I443" i="7" s="1"/>
  <c r="J445" i="7"/>
  <c r="F409" i="9" s="1"/>
  <c r="F408" i="9" s="1"/>
  <c r="F407" i="9" s="1"/>
  <c r="H445" i="7"/>
  <c r="F445" i="7"/>
  <c r="AE941" i="2"/>
  <c r="AE940" i="2" s="1"/>
  <c r="AF941" i="2"/>
  <c r="AF940" i="2" s="1"/>
  <c r="AD941" i="2"/>
  <c r="AD940" i="2" s="1"/>
  <c r="I424" i="7" l="1"/>
  <c r="I418" i="7" s="1"/>
  <c r="I417" i="7" s="1"/>
  <c r="I425" i="7"/>
  <c r="D409" i="9"/>
  <c r="D408" i="9" s="1"/>
  <c r="D407" i="9" s="1"/>
  <c r="H444" i="7"/>
  <c r="H443" i="7" s="1"/>
  <c r="F444" i="7"/>
  <c r="F443" i="7" s="1"/>
  <c r="J444" i="7"/>
  <c r="J443" i="7" s="1"/>
  <c r="E409" i="9"/>
  <c r="E408" i="9" s="1"/>
  <c r="E407" i="9" s="1"/>
  <c r="J104" i="7"/>
  <c r="J103" i="7" s="1"/>
  <c r="J102" i="7" s="1"/>
  <c r="H104" i="7"/>
  <c r="H103" i="7" s="1"/>
  <c r="H102" i="7" s="1"/>
  <c r="F104" i="7"/>
  <c r="F103" i="7" s="1"/>
  <c r="F102" i="7" s="1"/>
  <c r="AD593" i="2"/>
  <c r="AD592" i="2" s="1"/>
  <c r="AD591" i="2" s="1"/>
  <c r="AF593" i="2"/>
  <c r="AF592" i="2" s="1"/>
  <c r="AF591" i="2" s="1"/>
  <c r="AE593" i="2"/>
  <c r="AE592" i="2" s="1"/>
  <c r="AE591" i="2" s="1"/>
  <c r="J881" i="7" l="1"/>
  <c r="F74" i="9" s="1"/>
  <c r="F73" i="9" s="1"/>
  <c r="F72" i="9" s="1"/>
  <c r="F71" i="9" s="1"/>
  <c r="H881" i="7"/>
  <c r="F881" i="7"/>
  <c r="AE468" i="2"/>
  <c r="AE467" i="2" s="1"/>
  <c r="AE466" i="2" s="1"/>
  <c r="AF468" i="2"/>
  <c r="AF467" i="2" s="1"/>
  <c r="AF466" i="2" s="1"/>
  <c r="AD468" i="2"/>
  <c r="AD467" i="2" s="1"/>
  <c r="AD466" i="2" s="1"/>
  <c r="D74" i="9" l="1"/>
  <c r="D73" i="9" s="1"/>
  <c r="D72" i="9" s="1"/>
  <c r="D71" i="9" s="1"/>
  <c r="G881" i="7"/>
  <c r="G880" i="7" s="1"/>
  <c r="G879" i="7" s="1"/>
  <c r="G878" i="7" s="1"/>
  <c r="G857" i="7" s="1"/>
  <c r="H880" i="7"/>
  <c r="H879" i="7" s="1"/>
  <c r="H878" i="7" s="1"/>
  <c r="I881" i="7"/>
  <c r="I880" i="7" s="1"/>
  <c r="I879" i="7" s="1"/>
  <c r="I878" i="7" s="1"/>
  <c r="I857" i="7" s="1"/>
  <c r="F880" i="7"/>
  <c r="F879" i="7" s="1"/>
  <c r="F878" i="7" s="1"/>
  <c r="J880" i="7"/>
  <c r="J879" i="7" s="1"/>
  <c r="J878" i="7" s="1"/>
  <c r="E74" i="9"/>
  <c r="E73" i="9" s="1"/>
  <c r="E72" i="9" s="1"/>
  <c r="E71" i="9" s="1"/>
  <c r="J651" i="7" l="1"/>
  <c r="H651" i="7"/>
  <c r="AE703" i="2"/>
  <c r="AE702" i="2" s="1"/>
  <c r="AF703" i="2"/>
  <c r="AF702" i="2" s="1"/>
  <c r="AD703" i="2"/>
  <c r="AD702" i="2" s="1"/>
  <c r="E96" i="9" l="1"/>
  <c r="E95" i="9" s="1"/>
  <c r="E94" i="9" s="1"/>
  <c r="F96" i="9"/>
  <c r="F95" i="9" s="1"/>
  <c r="F94" i="9" s="1"/>
  <c r="J650" i="7"/>
  <c r="J649" i="7" s="1"/>
  <c r="F651" i="7"/>
  <c r="H650" i="7"/>
  <c r="H649" i="7" s="1"/>
  <c r="D96" i="9" l="1"/>
  <c r="D95" i="9" s="1"/>
  <c r="D94" i="9" s="1"/>
  <c r="F650" i="7"/>
  <c r="F649" i="7" s="1"/>
  <c r="H129" i="7" l="1"/>
  <c r="AF731" i="2" l="1"/>
  <c r="AF730" i="2" s="1"/>
  <c r="AE731" i="2"/>
  <c r="AE730" i="2" s="1"/>
  <c r="AD731" i="2"/>
  <c r="AD730" i="2" s="1"/>
  <c r="H679" i="7" l="1"/>
  <c r="F679" i="7"/>
  <c r="J679" i="7"/>
  <c r="F140" i="9" s="1"/>
  <c r="F139" i="9" s="1"/>
  <c r="F138" i="9" s="1"/>
  <c r="D140" i="9" l="1"/>
  <c r="D139" i="9" s="1"/>
  <c r="D138" i="9" s="1"/>
  <c r="E140" i="9"/>
  <c r="E139" i="9" s="1"/>
  <c r="E138" i="9" s="1"/>
  <c r="J416" i="7" l="1"/>
  <c r="F745" i="9" s="1"/>
  <c r="F744" i="9" s="1"/>
  <c r="F743" i="9" s="1"/>
  <c r="F742" i="9" s="1"/>
  <c r="F741" i="9" s="1"/>
  <c r="F740" i="9" s="1"/>
  <c r="H416" i="7"/>
  <c r="H415" i="7" s="1"/>
  <c r="H414" i="7" s="1"/>
  <c r="H413" i="7" s="1"/>
  <c r="H412" i="7" s="1"/>
  <c r="H411" i="7" s="1"/>
  <c r="F416" i="7"/>
  <c r="F415" i="7" s="1"/>
  <c r="F414" i="7" s="1"/>
  <c r="F413" i="7" s="1"/>
  <c r="F412" i="7" s="1"/>
  <c r="F411" i="7" s="1"/>
  <c r="AE912" i="2"/>
  <c r="AE911" i="2" s="1"/>
  <c r="AE910" i="2" s="1"/>
  <c r="AE909" i="2" s="1"/>
  <c r="AE908" i="2" s="1"/>
  <c r="AF912" i="2"/>
  <c r="AF911" i="2" s="1"/>
  <c r="AF910" i="2" s="1"/>
  <c r="AF909" i="2" s="1"/>
  <c r="AF908" i="2" s="1"/>
  <c r="AD912" i="2"/>
  <c r="AD911" i="2" s="1"/>
  <c r="AD910" i="2" s="1"/>
  <c r="AD909" i="2" s="1"/>
  <c r="AD908" i="2" s="1"/>
  <c r="D745" i="9" l="1"/>
  <c r="D744" i="9" s="1"/>
  <c r="D743" i="9" s="1"/>
  <c r="D742" i="9" s="1"/>
  <c r="D741" i="9" s="1"/>
  <c r="D740" i="9" s="1"/>
  <c r="E745" i="9"/>
  <c r="E744" i="9" s="1"/>
  <c r="E743" i="9" s="1"/>
  <c r="E742" i="9" s="1"/>
  <c r="E741" i="9" s="1"/>
  <c r="E740" i="9" s="1"/>
  <c r="J415" i="7"/>
  <c r="J414" i="7" s="1"/>
  <c r="J413" i="7" s="1"/>
  <c r="J412" i="7" s="1"/>
  <c r="J411" i="7" s="1"/>
  <c r="J559" i="7" l="1"/>
  <c r="H559" i="7"/>
  <c r="F559" i="7"/>
  <c r="F558" i="7" s="1"/>
  <c r="F557" i="7" s="1"/>
  <c r="AE1009" i="2"/>
  <c r="AE1008" i="2" s="1"/>
  <c r="AF1009" i="2"/>
  <c r="AF1008" i="2" s="1"/>
  <c r="AD1009" i="2"/>
  <c r="AD1008" i="2" s="1"/>
  <c r="H558" i="7" l="1"/>
  <c r="H557" i="7" s="1"/>
  <c r="E697" i="9"/>
  <c r="E696" i="9" s="1"/>
  <c r="E695" i="9" s="1"/>
  <c r="J558" i="7"/>
  <c r="J557" i="7" s="1"/>
  <c r="F697" i="9"/>
  <c r="F696" i="9" s="1"/>
  <c r="F695" i="9" s="1"/>
  <c r="D697" i="9"/>
  <c r="D696" i="9" s="1"/>
  <c r="D695" i="9" s="1"/>
  <c r="AF85" i="2" l="1"/>
  <c r="AF84" i="2" s="1"/>
  <c r="AE85" i="2"/>
  <c r="AE84" i="2" s="1"/>
  <c r="AD85" i="2"/>
  <c r="AD84" i="2" s="1"/>
  <c r="F146" i="7"/>
  <c r="AD83" i="2" l="1"/>
  <c r="AF83" i="2"/>
  <c r="AE83" i="2"/>
  <c r="J562" i="7"/>
  <c r="J561" i="7" s="1"/>
  <c r="J560" i="7" s="1"/>
  <c r="H562" i="7"/>
  <c r="E700" i="9" s="1"/>
  <c r="E699" i="9" s="1"/>
  <c r="E698" i="9" s="1"/>
  <c r="F562" i="7"/>
  <c r="D700" i="9" s="1"/>
  <c r="D699" i="9" s="1"/>
  <c r="D698" i="9" s="1"/>
  <c r="AE1012" i="2"/>
  <c r="AE1011" i="2" s="1"/>
  <c r="AF1012" i="2"/>
  <c r="AF1011" i="2" s="1"/>
  <c r="AD1012" i="2"/>
  <c r="AD1011" i="2" s="1"/>
  <c r="F561" i="7" l="1"/>
  <c r="F560" i="7" s="1"/>
  <c r="F700" i="9"/>
  <c r="F699" i="9" s="1"/>
  <c r="F698" i="9" s="1"/>
  <c r="H561" i="7"/>
  <c r="H560" i="7" s="1"/>
  <c r="J287" i="7" l="1"/>
  <c r="F355" i="9" s="1"/>
  <c r="F354" i="9" s="1"/>
  <c r="H287" i="7"/>
  <c r="H286" i="7" s="1"/>
  <c r="F287" i="7"/>
  <c r="D355" i="9" s="1"/>
  <c r="D354" i="9" s="1"/>
  <c r="AF206" i="2"/>
  <c r="AE206" i="2"/>
  <c r="AD206" i="2"/>
  <c r="F286" i="7" l="1"/>
  <c r="E355" i="9"/>
  <c r="E354" i="9" s="1"/>
  <c r="J286" i="7"/>
  <c r="J666" i="7" l="1"/>
  <c r="J665" i="7" s="1"/>
  <c r="J664" i="7" s="1"/>
  <c r="H666" i="7"/>
  <c r="F666" i="7"/>
  <c r="J637" i="7"/>
  <c r="J636" i="7" s="1"/>
  <c r="J635" i="7" s="1"/>
  <c r="H637" i="7"/>
  <c r="I637" i="7" s="1"/>
  <c r="I636" i="7" s="1"/>
  <c r="I635" i="7" s="1"/>
  <c r="F637" i="7"/>
  <c r="F636" i="7" s="1"/>
  <c r="F635" i="7" s="1"/>
  <c r="AF718" i="2"/>
  <c r="AF717" i="2" s="1"/>
  <c r="AE718" i="2"/>
  <c r="AE717" i="2" s="1"/>
  <c r="AD718" i="2"/>
  <c r="AD717" i="2" s="1"/>
  <c r="AF689" i="2"/>
  <c r="AF688" i="2" s="1"/>
  <c r="AD689" i="2"/>
  <c r="AD688" i="2" s="1"/>
  <c r="AE689" i="2"/>
  <c r="AE688" i="2" s="1"/>
  <c r="J693" i="7"/>
  <c r="F157" i="9" s="1"/>
  <c r="F156" i="9" s="1"/>
  <c r="F155" i="9" s="1"/>
  <c r="H693" i="7"/>
  <c r="E157" i="9" s="1"/>
  <c r="E156" i="9" s="1"/>
  <c r="E155" i="9" s="1"/>
  <c r="F693" i="7"/>
  <c r="F692" i="7" s="1"/>
  <c r="F691" i="7" s="1"/>
  <c r="AE745" i="2"/>
  <c r="AE744" i="2" s="1"/>
  <c r="AF745" i="2"/>
  <c r="AF744" i="2" s="1"/>
  <c r="AD745" i="2"/>
  <c r="AD744" i="2" s="1"/>
  <c r="G637" i="7" l="1"/>
  <c r="G636" i="7" s="1"/>
  <c r="G635" i="7" s="1"/>
  <c r="D127" i="9"/>
  <c r="D126" i="9" s="1"/>
  <c r="D125" i="9" s="1"/>
  <c r="E127" i="9"/>
  <c r="E126" i="9" s="1"/>
  <c r="E125" i="9" s="1"/>
  <c r="K637" i="7"/>
  <c r="K636" i="7" s="1"/>
  <c r="K635" i="7" s="1"/>
  <c r="F127" i="9"/>
  <c r="F126" i="9" s="1"/>
  <c r="F125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6" i="7"/>
  <c r="H635" i="7" s="1"/>
  <c r="D157" i="9"/>
  <c r="D156" i="9" s="1"/>
  <c r="D155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4" i="7" l="1"/>
  <c r="F780" i="9" s="1"/>
  <c r="F124" i="7"/>
  <c r="D780" i="9" s="1"/>
  <c r="H124" i="7"/>
  <c r="E780" i="9" s="1"/>
  <c r="H514" i="7" l="1"/>
  <c r="H513" i="7" s="1"/>
  <c r="H512" i="7" s="1"/>
  <c r="H511" i="7" s="1"/>
  <c r="H510" i="7" s="1"/>
  <c r="F649" i="9"/>
  <c r="F514" i="7"/>
  <c r="F513" i="7" s="1"/>
  <c r="F512" i="7" s="1"/>
  <c r="F511" i="7" s="1"/>
  <c r="F510" i="7" s="1"/>
  <c r="AF336" i="2"/>
  <c r="AF335" i="2" s="1"/>
  <c r="AF334" i="2" s="1"/>
  <c r="AF333" i="2" s="1"/>
  <c r="AF332" i="2" s="1"/>
  <c r="AD336" i="2"/>
  <c r="AD335" i="2" s="1"/>
  <c r="AD334" i="2" s="1"/>
  <c r="AD333" i="2" s="1"/>
  <c r="AD332" i="2" s="1"/>
  <c r="J514" i="7" l="1"/>
  <c r="J513" i="7" s="1"/>
  <c r="J512" i="7" s="1"/>
  <c r="J511" i="7" s="1"/>
  <c r="J510" i="7" s="1"/>
  <c r="E649" i="9"/>
  <c r="E648" i="9" s="1"/>
  <c r="E647" i="9" s="1"/>
  <c r="D648" i="9"/>
  <c r="D647" i="9" s="1"/>
  <c r="F648" i="9"/>
  <c r="F647" i="9" s="1"/>
  <c r="E646" i="9" l="1"/>
  <c r="E645" i="9" s="1"/>
  <c r="D646" i="9"/>
  <c r="D645" i="9" s="1"/>
  <c r="F646" i="9"/>
  <c r="F645" i="9" s="1"/>
  <c r="J775" i="7" l="1"/>
  <c r="H775" i="7"/>
  <c r="J81" i="7" l="1"/>
  <c r="F549" i="9" s="1"/>
  <c r="K814" i="7"/>
  <c r="K817" i="7"/>
  <c r="K816" i="7" s="1"/>
  <c r="AF830" i="2"/>
  <c r="J949" i="7" l="1"/>
  <c r="F239" i="9" s="1"/>
  <c r="F238" i="9" s="1"/>
  <c r="F237" i="9" s="1"/>
  <c r="J915" i="7" l="1"/>
  <c r="H915" i="7"/>
  <c r="F915" i="7"/>
  <c r="D789" i="9" s="1"/>
  <c r="D788" i="9" s="1"/>
  <c r="D787" i="9" s="1"/>
  <c r="AE496" i="2"/>
  <c r="AE495" i="2" s="1"/>
  <c r="AE494" i="2" s="1"/>
  <c r="AE493" i="2" s="1"/>
  <c r="AF496" i="2"/>
  <c r="AF495" i="2" s="1"/>
  <c r="AF494" i="2" s="1"/>
  <c r="AF493" i="2" s="1"/>
  <c r="AD496" i="2"/>
  <c r="AD495" i="2" s="1"/>
  <c r="AD494" i="2" s="1"/>
  <c r="AD493" i="2" s="1"/>
  <c r="H914" i="7" l="1"/>
  <c r="H913" i="7" s="1"/>
  <c r="H912" i="7" s="1"/>
  <c r="E789" i="9"/>
  <c r="J914" i="7"/>
  <c r="J913" i="7" s="1"/>
  <c r="J912" i="7" s="1"/>
  <c r="F789" i="9"/>
  <c r="F914" i="7"/>
  <c r="F913" i="7" s="1"/>
  <c r="F912" i="7" s="1"/>
  <c r="AF521" i="2"/>
  <c r="AF520" i="2" s="1"/>
  <c r="AE521" i="2"/>
  <c r="AE520" i="2" s="1"/>
  <c r="AD521" i="2"/>
  <c r="AD520" i="2" s="1"/>
  <c r="J905" i="7" l="1"/>
  <c r="F55" i="10" s="1"/>
  <c r="F905" i="7"/>
  <c r="D55" i="10" s="1"/>
  <c r="H905" i="7"/>
  <c r="E55" i="10" s="1"/>
  <c r="AF199" i="2" l="1"/>
  <c r="AF196" i="2" s="1"/>
  <c r="AE199" i="2"/>
  <c r="AE196" i="2" s="1"/>
  <c r="AD199" i="2"/>
  <c r="AD196" i="2" s="1"/>
  <c r="AF190" i="2" l="1"/>
  <c r="AF189" i="2" s="1"/>
  <c r="AE190" i="2"/>
  <c r="AE189" i="2" s="1"/>
  <c r="AD190" i="2"/>
  <c r="AD189" i="2" s="1"/>
  <c r="J67" i="7" l="1"/>
  <c r="F486" i="9" s="1"/>
  <c r="F485" i="9" s="1"/>
  <c r="H67" i="7"/>
  <c r="H66" i="7" s="1"/>
  <c r="F67" i="7"/>
  <c r="D486" i="9" s="1"/>
  <c r="D485" i="9" s="1"/>
  <c r="AD40" i="2"/>
  <c r="F66" i="7" l="1"/>
  <c r="J66" i="7"/>
  <c r="E486" i="9"/>
  <c r="E485" i="9" s="1"/>
  <c r="AF408" i="2"/>
  <c r="AF407" i="2" s="1"/>
  <c r="J410" i="7" l="1"/>
  <c r="F721" i="9" s="1"/>
  <c r="F720" i="9" s="1"/>
  <c r="F719" i="9" s="1"/>
  <c r="F718" i="9" s="1"/>
  <c r="F410" i="7"/>
  <c r="D721" i="9" s="1"/>
  <c r="D720" i="9" s="1"/>
  <c r="D719" i="9" s="1"/>
  <c r="D718" i="9" s="1"/>
  <c r="AD296" i="2"/>
  <c r="AD295" i="2" s="1"/>
  <c r="AF296" i="2"/>
  <c r="AF295" i="2" s="1"/>
  <c r="H410" i="7"/>
  <c r="AF292" i="2" l="1"/>
  <c r="AF294" i="2"/>
  <c r="AF293" i="2" s="1"/>
  <c r="AD294" i="2"/>
  <c r="AD293" i="2" s="1"/>
  <c r="AD292" i="2" s="1"/>
  <c r="E721" i="9"/>
  <c r="E720" i="9" s="1"/>
  <c r="E719" i="9" s="1"/>
  <c r="E718" i="9" s="1"/>
  <c r="H409" i="7"/>
  <c r="H408" i="7" s="1"/>
  <c r="H407" i="7" s="1"/>
  <c r="H406" i="7" s="1"/>
  <c r="H405" i="7" s="1"/>
  <c r="AE296" i="2"/>
  <c r="AE295" i="2" s="1"/>
  <c r="J409" i="7"/>
  <c r="J408" i="7" s="1"/>
  <c r="J407" i="7" s="1"/>
  <c r="J406" i="7" s="1"/>
  <c r="J405" i="7" s="1"/>
  <c r="F409" i="7"/>
  <c r="F408" i="7" s="1"/>
  <c r="F407" i="7" s="1"/>
  <c r="F406" i="7" s="1"/>
  <c r="F405" i="7" s="1"/>
  <c r="AE292" i="2" l="1"/>
  <c r="AE294" i="2"/>
  <c r="AE293" i="2" s="1"/>
  <c r="F811" i="7" l="1"/>
  <c r="F974" i="7" l="1"/>
  <c r="J974" i="7"/>
  <c r="J973" i="7" s="1"/>
  <c r="J972" i="7" s="1"/>
  <c r="J971" i="7" s="1"/>
  <c r="J970" i="7" s="1"/>
  <c r="J969" i="7" s="1"/>
  <c r="J968" i="7" s="1"/>
  <c r="F60" i="10" s="1"/>
  <c r="H974" i="7"/>
  <c r="E265" i="9" s="1"/>
  <c r="E264" i="9" s="1"/>
  <c r="E263" i="9" s="1"/>
  <c r="E262" i="9" s="1"/>
  <c r="E261" i="9" s="1"/>
  <c r="AE531" i="2"/>
  <c r="AE530" i="2" s="1"/>
  <c r="AE529" i="2" s="1"/>
  <c r="AE528" i="2" s="1"/>
  <c r="AE527" i="2" s="1"/>
  <c r="AE526" i="2" s="1"/>
  <c r="AF531" i="2"/>
  <c r="AF530" i="2" s="1"/>
  <c r="AF529" i="2" s="1"/>
  <c r="AF528" i="2" s="1"/>
  <c r="AF527" i="2" s="1"/>
  <c r="AF526" i="2" s="1"/>
  <c r="F265" i="9" l="1"/>
  <c r="F264" i="9" s="1"/>
  <c r="F263" i="9" s="1"/>
  <c r="F262" i="9" s="1"/>
  <c r="F261" i="9" s="1"/>
  <c r="F973" i="7"/>
  <c r="F972" i="7" s="1"/>
  <c r="F971" i="7" s="1"/>
  <c r="F970" i="7" s="1"/>
  <c r="F969" i="7" s="1"/>
  <c r="F968" i="7" s="1"/>
  <c r="D265" i="9"/>
  <c r="D264" i="9" s="1"/>
  <c r="D263" i="9" s="1"/>
  <c r="D262" i="9" s="1"/>
  <c r="D261" i="9" s="1"/>
  <c r="AD531" i="2"/>
  <c r="AD530" i="2" s="1"/>
  <c r="AD529" i="2" s="1"/>
  <c r="AD528" i="2" s="1"/>
  <c r="AD527" i="2" s="1"/>
  <c r="AD526" i="2" s="1"/>
  <c r="H973" i="7"/>
  <c r="H972" i="7" s="1"/>
  <c r="H971" i="7" s="1"/>
  <c r="H970" i="7" s="1"/>
  <c r="H969" i="7" s="1"/>
  <c r="H968" i="7" s="1"/>
  <c r="E60" i="10" s="1"/>
  <c r="D60" i="10" l="1"/>
  <c r="F775" i="7" l="1"/>
  <c r="F769" i="7"/>
  <c r="J948" i="7" l="1"/>
  <c r="J947" i="7" s="1"/>
  <c r="H949" i="7"/>
  <c r="E239" i="9" s="1"/>
  <c r="E238" i="9" s="1"/>
  <c r="E237" i="9" s="1"/>
  <c r="F949" i="7"/>
  <c r="D239" i="9" s="1"/>
  <c r="D238" i="9" s="1"/>
  <c r="D237" i="9" s="1"/>
  <c r="AE510" i="2"/>
  <c r="AE509" i="2" s="1"/>
  <c r="AD510" i="2"/>
  <c r="AD509" i="2" s="1"/>
  <c r="F948" i="7" l="1"/>
  <c r="F947" i="7" s="1"/>
  <c r="H948" i="7"/>
  <c r="H947" i="7" s="1"/>
  <c r="J565" i="7" l="1"/>
  <c r="H565" i="7"/>
  <c r="AD1015" i="2"/>
  <c r="AD1014" i="2" s="1"/>
  <c r="AF1015" i="2"/>
  <c r="AF1014" i="2" s="1"/>
  <c r="AE1015" i="2"/>
  <c r="AE1014" i="2" s="1"/>
  <c r="J564" i="7" l="1"/>
  <c r="J563" i="7" s="1"/>
  <c r="F565" i="7"/>
  <c r="D706" i="9" s="1"/>
  <c r="H564" i="7"/>
  <c r="H563" i="7" s="1"/>
  <c r="E706" i="9"/>
  <c r="F706" i="9"/>
  <c r="F564" i="7" l="1"/>
  <c r="F563" i="7" s="1"/>
  <c r="AE798" i="2" l="1"/>
  <c r="AE797" i="2" s="1"/>
  <c r="AE796" i="2" s="1"/>
  <c r="AE795" i="2" s="1"/>
  <c r="AF798" i="2"/>
  <c r="AF797" i="2" s="1"/>
  <c r="AF796" i="2" s="1"/>
  <c r="AF795" i="2" s="1"/>
  <c r="AD798" i="2"/>
  <c r="AD797" i="2" s="1"/>
  <c r="AD796" i="2" s="1"/>
  <c r="AD795" i="2" s="1"/>
  <c r="AD794" i="2" s="1"/>
  <c r="AF794" i="2" l="1"/>
  <c r="AF793" i="2" s="1"/>
  <c r="AE794" i="2"/>
  <c r="AE793" i="2" s="1"/>
  <c r="AD793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23" i="7" l="1"/>
  <c r="F122" i="7" s="1"/>
  <c r="F121" i="7" s="1"/>
  <c r="F120" i="7" s="1"/>
  <c r="D779" i="9"/>
  <c r="D778" i="9" s="1"/>
  <c r="H123" i="7"/>
  <c r="H122" i="7" s="1"/>
  <c r="H121" i="7" s="1"/>
  <c r="H120" i="7" s="1"/>
  <c r="E779" i="9"/>
  <c r="E778" i="9" s="1"/>
  <c r="J123" i="7"/>
  <c r="J122" i="7" s="1"/>
  <c r="J121" i="7" s="1"/>
  <c r="J120" i="7" s="1"/>
  <c r="F779" i="9"/>
  <c r="F778" i="9" s="1"/>
  <c r="AE62" i="2" l="1"/>
  <c r="AF62" i="2"/>
  <c r="F18" i="10"/>
  <c r="E18" i="10"/>
  <c r="D18" i="10"/>
  <c r="F612" i="7" l="1"/>
  <c r="G611" i="7"/>
  <c r="G610" i="7" s="1"/>
  <c r="G605" i="7" s="1"/>
  <c r="J612" i="7"/>
  <c r="F383" i="9" s="1"/>
  <c r="F382" i="9" s="1"/>
  <c r="F381" i="9" s="1"/>
  <c r="F376" i="9" s="1"/>
  <c r="H612" i="7"/>
  <c r="H611" i="7" s="1"/>
  <c r="H610" i="7" s="1"/>
  <c r="H605" i="7" s="1"/>
  <c r="AE1059" i="2"/>
  <c r="AF1059" i="2"/>
  <c r="AF1058" i="2" l="1"/>
  <c r="AF1054" i="2" s="1"/>
  <c r="AE1058" i="2"/>
  <c r="AE1054" i="2" s="1"/>
  <c r="F611" i="7"/>
  <c r="F610" i="7" s="1"/>
  <c r="F605" i="7" s="1"/>
  <c r="G604" i="7"/>
  <c r="D383" i="9"/>
  <c r="D382" i="9" s="1"/>
  <c r="D381" i="9" s="1"/>
  <c r="D376" i="9" s="1"/>
  <c r="J611" i="7"/>
  <c r="J610" i="7" s="1"/>
  <c r="J605" i="7" s="1"/>
  <c r="E383" i="9"/>
  <c r="E382" i="9" s="1"/>
  <c r="E381" i="9" s="1"/>
  <c r="E376" i="9" s="1"/>
  <c r="AD1059" i="2"/>
  <c r="AD1058" i="2" s="1"/>
  <c r="AD1054" i="2" l="1"/>
  <c r="F604" i="7"/>
  <c r="F603" i="7" s="1"/>
  <c r="F602" i="7" s="1"/>
  <c r="H604" i="7"/>
  <c r="H603" i="7" s="1"/>
  <c r="H602" i="7" s="1"/>
  <c r="G603" i="7"/>
  <c r="G602" i="7" s="1"/>
  <c r="AE1053" i="2"/>
  <c r="AF1053" i="2"/>
  <c r="AD1053" i="2" l="1"/>
  <c r="AD1052" i="2" s="1"/>
  <c r="AD1051" i="2" s="1"/>
  <c r="AD1050" i="2" s="1"/>
  <c r="E41" i="10"/>
  <c r="E40" i="10" s="1"/>
  <c r="J604" i="7"/>
  <c r="J603" i="7" s="1"/>
  <c r="J602" i="7" s="1"/>
  <c r="D41" i="10"/>
  <c r="D40" i="10" s="1"/>
  <c r="AF1052" i="2"/>
  <c r="AF1051" i="2" s="1"/>
  <c r="AF1050" i="2" s="1"/>
  <c r="AE1052" i="2"/>
  <c r="AE1051" i="2" s="1"/>
  <c r="AE1050" i="2" s="1"/>
  <c r="J432" i="7"/>
  <c r="G431" i="7"/>
  <c r="G430" i="7" s="1"/>
  <c r="G425" i="7" l="1"/>
  <c r="G424" i="7" s="1"/>
  <c r="G418" i="7" s="1"/>
  <c r="G417" i="7" s="1"/>
  <c r="F41" i="10"/>
  <c r="F40" i="10" s="1"/>
  <c r="J431" i="7"/>
  <c r="J430" i="7" s="1"/>
  <c r="F396" i="9"/>
  <c r="F395" i="9" s="1"/>
  <c r="F394" i="9" s="1"/>
  <c r="F389" i="9" s="1"/>
  <c r="H365" i="7"/>
  <c r="E703" i="9" s="1"/>
  <c r="AD905" i="2"/>
  <c r="AD904" i="2" s="1"/>
  <c r="AD903" i="2" s="1"/>
  <c r="AE905" i="2"/>
  <c r="AE904" i="2" s="1"/>
  <c r="AE903" i="2" s="1"/>
  <c r="J424" i="7" l="1"/>
  <c r="J418" i="7" s="1"/>
  <c r="J417" i="7" s="1"/>
  <c r="J425" i="7"/>
  <c r="F365" i="7"/>
  <c r="H364" i="7"/>
  <c r="F982" i="7"/>
  <c r="F981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74" i="7"/>
  <c r="J773" i="7" s="1"/>
  <c r="J772" i="7" s="1"/>
  <c r="H774" i="7"/>
  <c r="H773" i="7" s="1"/>
  <c r="H772" i="7" s="1"/>
  <c r="D576" i="9"/>
  <c r="D575" i="9" s="1"/>
  <c r="D574" i="9" s="1"/>
  <c r="F980" i="7" l="1"/>
  <c r="F979" i="7" s="1"/>
  <c r="F977" i="7"/>
  <c r="F978" i="7"/>
  <c r="H363" i="7"/>
  <c r="H362" i="7" s="1"/>
  <c r="F364" i="7"/>
  <c r="D703" i="9"/>
  <c r="F774" i="7"/>
  <c r="F773" i="7" s="1"/>
  <c r="F772" i="7" s="1"/>
  <c r="E576" i="9"/>
  <c r="E575" i="9" s="1"/>
  <c r="E574" i="9" s="1"/>
  <c r="F576" i="9"/>
  <c r="F575" i="9" s="1"/>
  <c r="F574" i="9" s="1"/>
  <c r="F975" i="7" l="1"/>
  <c r="F976" i="7"/>
  <c r="F363" i="7"/>
  <c r="F362" i="7" s="1"/>
  <c r="J60" i="7"/>
  <c r="F247" i="9" s="1"/>
  <c r="F246" i="9" s="1"/>
  <c r="F245" i="9" s="1"/>
  <c r="F244" i="9" s="1"/>
  <c r="F243" i="9" s="1"/>
  <c r="H60" i="7"/>
  <c r="E247" i="9" s="1"/>
  <c r="E246" i="9" s="1"/>
  <c r="E245" i="9" s="1"/>
  <c r="E244" i="9" s="1"/>
  <c r="E243" i="9" s="1"/>
  <c r="F60" i="7"/>
  <c r="D247" i="9" s="1"/>
  <c r="D246" i="9" s="1"/>
  <c r="D245" i="9" s="1"/>
  <c r="D244" i="9" s="1"/>
  <c r="D243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J264" i="7"/>
  <c r="F319" i="9" s="1"/>
  <c r="F318" i="9" s="1"/>
  <c r="J279" i="7"/>
  <c r="J276" i="7" s="1"/>
  <c r="H279" i="7"/>
  <c r="H276" i="7" s="1"/>
  <c r="F279" i="7"/>
  <c r="F276" i="7" s="1"/>
  <c r="H264" i="7"/>
  <c r="E319" i="9" s="1"/>
  <c r="E318" i="9" s="1"/>
  <c r="F264" i="7"/>
  <c r="D319" i="9" s="1"/>
  <c r="D318" i="9" s="1"/>
  <c r="D317" i="9" l="1"/>
  <c r="D316" i="9" s="1"/>
  <c r="F317" i="9"/>
  <c r="F316" i="9" s="1"/>
  <c r="E317" i="9"/>
  <c r="E316" i="9" s="1"/>
  <c r="F59" i="7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48" i="9"/>
  <c r="D347" i="9" s="1"/>
  <c r="D344" i="9" s="1"/>
  <c r="F348" i="9"/>
  <c r="F347" i="9" s="1"/>
  <c r="F344" i="9" s="1"/>
  <c r="E348" i="9"/>
  <c r="E347" i="9" s="1"/>
  <c r="E344" i="9" s="1"/>
  <c r="H275" i="7"/>
  <c r="H274" i="7" s="1"/>
  <c r="F275" i="7"/>
  <c r="F274" i="7" s="1"/>
  <c r="J275" i="7"/>
  <c r="J274" i="7" s="1"/>
  <c r="E343" i="9" l="1"/>
  <c r="E342" i="9" s="1"/>
  <c r="D343" i="9"/>
  <c r="D342" i="9" s="1"/>
  <c r="F343" i="9"/>
  <c r="F342" i="9" s="1"/>
  <c r="AF195" i="2" l="1"/>
  <c r="AF194" i="2" s="1"/>
  <c r="AD195" i="2" l="1"/>
  <c r="AD194" i="2" s="1"/>
  <c r="AE195" i="2"/>
  <c r="AE194" i="2" s="1"/>
  <c r="AE183" i="2"/>
  <c r="AF183" i="2"/>
  <c r="AD183" i="2"/>
  <c r="AD182" i="2" l="1"/>
  <c r="AD181" i="2" s="1"/>
  <c r="AF182" i="2"/>
  <c r="AF181" i="2" s="1"/>
  <c r="AE182" i="2"/>
  <c r="AE181" i="2" s="1"/>
  <c r="AD115" i="2"/>
  <c r="AE54" i="2"/>
  <c r="AE53" i="2" s="1"/>
  <c r="AE52" i="2" s="1"/>
  <c r="AF54" i="2"/>
  <c r="AF53" i="2" s="1"/>
  <c r="AF52" i="2" s="1"/>
  <c r="AD54" i="2"/>
  <c r="AD53" i="2" s="1"/>
  <c r="AD52" i="2" s="1"/>
  <c r="J864" i="7" l="1"/>
  <c r="H864" i="7"/>
  <c r="J867" i="7"/>
  <c r="H867" i="7"/>
  <c r="F867" i="7"/>
  <c r="AF453" i="2"/>
  <c r="AF452" i="2" s="1"/>
  <c r="AE453" i="2"/>
  <c r="AE452" i="2" s="1"/>
  <c r="AD453" i="2"/>
  <c r="AD452" i="2" s="1"/>
  <c r="AF450" i="2"/>
  <c r="AF447" i="2" s="1"/>
  <c r="AE450" i="2"/>
  <c r="AE447" i="2" s="1"/>
  <c r="AD450" i="2"/>
  <c r="AD447" i="2" s="1"/>
  <c r="J585" i="7"/>
  <c r="K585" i="7" s="1"/>
  <c r="F712" i="9" s="1"/>
  <c r="F711" i="9" s="1"/>
  <c r="I585" i="7"/>
  <c r="I584" i="7" s="1"/>
  <c r="H585" i="7"/>
  <c r="H584" i="7" s="1"/>
  <c r="F585" i="7"/>
  <c r="G585" i="7" s="1"/>
  <c r="G584" i="7" s="1"/>
  <c r="J587" i="7"/>
  <c r="K587" i="7" s="1"/>
  <c r="K586" i="7" s="1"/>
  <c r="H587" i="7"/>
  <c r="H586" i="7" s="1"/>
  <c r="F587" i="7"/>
  <c r="F586" i="7" s="1"/>
  <c r="AF1034" i="2"/>
  <c r="AE1034" i="2"/>
  <c r="AD1034" i="2"/>
  <c r="AF1032" i="2"/>
  <c r="AE1032" i="2"/>
  <c r="AD1032" i="2"/>
  <c r="F432" i="7"/>
  <c r="J211" i="7"/>
  <c r="J210" i="7" s="1"/>
  <c r="J209" i="7" s="1"/>
  <c r="J208" i="7" s="1"/>
  <c r="J207" i="7" s="1"/>
  <c r="J206" i="7" s="1"/>
  <c r="H211" i="7"/>
  <c r="E643" i="9" s="1"/>
  <c r="F211" i="7"/>
  <c r="D643" i="9" s="1"/>
  <c r="H173" i="7"/>
  <c r="E520" i="9" s="1"/>
  <c r="E519" i="9" s="1"/>
  <c r="J171" i="7"/>
  <c r="F518" i="9" s="1"/>
  <c r="F517" i="9" s="1"/>
  <c r="H171" i="7"/>
  <c r="F171" i="7"/>
  <c r="J173" i="7"/>
  <c r="F520" i="9" s="1"/>
  <c r="F519" i="9" s="1"/>
  <c r="F173" i="7"/>
  <c r="D520" i="9" s="1"/>
  <c r="D519" i="9" s="1"/>
  <c r="H81" i="7"/>
  <c r="E549" i="9" s="1"/>
  <c r="F81" i="7"/>
  <c r="D549" i="9" s="1"/>
  <c r="F516" i="9" l="1"/>
  <c r="AE446" i="2"/>
  <c r="AF446" i="2"/>
  <c r="D396" i="9"/>
  <c r="D395" i="9" s="1"/>
  <c r="D394" i="9" s="1"/>
  <c r="D389" i="9" s="1"/>
  <c r="H170" i="7"/>
  <c r="E518" i="9"/>
  <c r="E517" i="9" s="1"/>
  <c r="E516" i="9" s="1"/>
  <c r="F170" i="7"/>
  <c r="D518" i="9"/>
  <c r="D517" i="9" s="1"/>
  <c r="D516" i="9" s="1"/>
  <c r="F80" i="7"/>
  <c r="F79" i="7" s="1"/>
  <c r="F78" i="7" s="1"/>
  <c r="J80" i="7"/>
  <c r="J79" i="7" s="1"/>
  <c r="J78" i="7" s="1"/>
  <c r="H80" i="7"/>
  <c r="H79" i="7" s="1"/>
  <c r="H78" i="7" s="1"/>
  <c r="AD446" i="2"/>
  <c r="AF1031" i="2"/>
  <c r="AF1030" i="2" s="1"/>
  <c r="AF1029" i="2" s="1"/>
  <c r="J584" i="7"/>
  <c r="F584" i="7"/>
  <c r="F583" i="7" s="1"/>
  <c r="D714" i="9"/>
  <c r="D713" i="9" s="1"/>
  <c r="F714" i="9"/>
  <c r="F713" i="9" s="1"/>
  <c r="F710" i="9" s="1"/>
  <c r="AE1031" i="2"/>
  <c r="AE1030" i="2" s="1"/>
  <c r="AE1029" i="2" s="1"/>
  <c r="K584" i="7"/>
  <c r="K583" i="7" s="1"/>
  <c r="E714" i="9"/>
  <c r="E713" i="9" s="1"/>
  <c r="D712" i="9"/>
  <c r="D711" i="9" s="1"/>
  <c r="AD1031" i="2"/>
  <c r="AD1030" i="2" s="1"/>
  <c r="AD1029" i="2" s="1"/>
  <c r="I587" i="7"/>
  <c r="I586" i="7" s="1"/>
  <c r="I583" i="7" s="1"/>
  <c r="H583" i="7"/>
  <c r="E712" i="9"/>
  <c r="E711" i="9" s="1"/>
  <c r="G587" i="7"/>
  <c r="G586" i="7" s="1"/>
  <c r="G583" i="7" s="1"/>
  <c r="J586" i="7"/>
  <c r="H210" i="7"/>
  <c r="H209" i="7" s="1"/>
  <c r="H208" i="7" s="1"/>
  <c r="H207" i="7" s="1"/>
  <c r="H206" i="7" s="1"/>
  <c r="F643" i="9"/>
  <c r="F642" i="9" s="1"/>
  <c r="F641" i="9" s="1"/>
  <c r="F640" i="9" s="1"/>
  <c r="F639" i="9" s="1"/>
  <c r="F210" i="7"/>
  <c r="F209" i="7" s="1"/>
  <c r="F208" i="7" s="1"/>
  <c r="F207" i="7" s="1"/>
  <c r="F206" i="7" s="1"/>
  <c r="H172" i="7"/>
  <c r="J170" i="7"/>
  <c r="J172" i="7"/>
  <c r="F172" i="7"/>
  <c r="E642" i="9"/>
  <c r="E641" i="9" s="1"/>
  <c r="E640" i="9" s="1"/>
  <c r="E639" i="9" s="1"/>
  <c r="D642" i="9"/>
  <c r="D641" i="9" s="1"/>
  <c r="D640" i="9" s="1"/>
  <c r="D639" i="9" s="1"/>
  <c r="A869" i="7"/>
  <c r="A870" i="7"/>
  <c r="A871" i="7"/>
  <c r="A872" i="7"/>
  <c r="A873" i="7"/>
  <c r="A874" i="7"/>
  <c r="J169" i="7" l="1"/>
  <c r="F169" i="7"/>
  <c r="H169" i="7"/>
  <c r="H582" i="7"/>
  <c r="H581" i="7" s="1"/>
  <c r="I582" i="7"/>
  <c r="I581" i="7" s="1"/>
  <c r="K582" i="7"/>
  <c r="K581" i="7" s="1"/>
  <c r="F582" i="7"/>
  <c r="F581" i="7" s="1"/>
  <c r="G582" i="7"/>
  <c r="G581" i="7" s="1"/>
  <c r="J583" i="7"/>
  <c r="D710" i="9"/>
  <c r="E710" i="9"/>
  <c r="J582" i="7" l="1"/>
  <c r="J581" i="7" s="1"/>
  <c r="F788" i="9"/>
  <c r="F787" i="9" s="1"/>
  <c r="E788" i="9" l="1"/>
  <c r="E787" i="9" s="1"/>
  <c r="F431" i="7" l="1"/>
  <c r="AF928" i="2"/>
  <c r="AF927" i="2" s="1"/>
  <c r="AF922" i="2" s="1"/>
  <c r="AD928" i="2"/>
  <c r="AF921" i="2" l="1"/>
  <c r="D388" i="9"/>
  <c r="F430" i="7"/>
  <c r="F425" i="7" s="1"/>
  <c r="F424" i="7" s="1"/>
  <c r="AD927" i="2"/>
  <c r="AD922" i="2" s="1"/>
  <c r="H432" i="7"/>
  <c r="AE928" i="2"/>
  <c r="AE927" i="2" s="1"/>
  <c r="AE922" i="2" s="1"/>
  <c r="F418" i="7" l="1"/>
  <c r="F417" i="7" s="1"/>
  <c r="AD921" i="2"/>
  <c r="AD915" i="2" s="1"/>
  <c r="AE921" i="2"/>
  <c r="H431" i="7"/>
  <c r="H430" i="7" s="1"/>
  <c r="E396" i="9"/>
  <c r="E395" i="9" s="1"/>
  <c r="E394" i="9" s="1"/>
  <c r="E389" i="9" s="1"/>
  <c r="H424" i="7" l="1"/>
  <c r="H418" i="7" s="1"/>
  <c r="H417" i="7" s="1"/>
  <c r="H425" i="7"/>
  <c r="E388" i="9"/>
  <c r="D702" i="9"/>
  <c r="D701" i="9" s="1"/>
  <c r="G538" i="7" l="1"/>
  <c r="G537" i="7" s="1"/>
  <c r="G533" i="7" s="1"/>
  <c r="J904" i="7" l="1"/>
  <c r="H904" i="7"/>
  <c r="F904" i="7"/>
  <c r="AD985" i="2" l="1"/>
  <c r="AE985" i="2"/>
  <c r="AF985" i="2"/>
  <c r="G814" i="7" l="1"/>
  <c r="I814" i="7"/>
  <c r="J212" i="7" l="1"/>
  <c r="E799" i="9"/>
  <c r="E798" i="9" s="1"/>
  <c r="E797" i="9" s="1"/>
  <c r="E790" i="9" s="1"/>
  <c r="D799" i="9"/>
  <c r="D798" i="9" s="1"/>
  <c r="D797" i="9" s="1"/>
  <c r="D790" i="9" s="1"/>
  <c r="F799" i="9" l="1"/>
  <c r="F798" i="9" s="1"/>
  <c r="F797" i="9" s="1"/>
  <c r="F790" i="9" s="1"/>
  <c r="H212" i="7"/>
  <c r="F212" i="7"/>
  <c r="E705" i="9" l="1"/>
  <c r="E704" i="9" s="1"/>
  <c r="D705" i="9"/>
  <c r="D704" i="9" s="1"/>
  <c r="F705" i="9" l="1"/>
  <c r="F704" i="9" s="1"/>
  <c r="I580" i="7" l="1"/>
  <c r="I573" i="7" s="1"/>
  <c r="G580" i="7" l="1"/>
  <c r="G573" i="7" s="1"/>
  <c r="K580" i="7"/>
  <c r="K573" i="7" s="1"/>
  <c r="H361" i="7" l="1"/>
  <c r="AD902" i="2"/>
  <c r="AE902" i="2"/>
  <c r="AE901" i="2" s="1"/>
  <c r="AD901" i="2" l="1"/>
  <c r="F361" i="7"/>
  <c r="F960" i="7" l="1"/>
  <c r="D253" i="9" s="1"/>
  <c r="D375" i="9" l="1"/>
  <c r="H360" i="7" l="1"/>
  <c r="AE915" i="2" l="1"/>
  <c r="AF915" i="2"/>
  <c r="E375" i="9"/>
  <c r="F388" i="9"/>
  <c r="F375" i="9" s="1"/>
  <c r="F360" i="7"/>
  <c r="F446" i="9" l="1"/>
  <c r="D177" i="9" l="1"/>
  <c r="J738" i="7" l="1"/>
  <c r="J942" i="7" l="1"/>
  <c r="F942" i="7"/>
  <c r="J928" i="7"/>
  <c r="F124" i="9" s="1"/>
  <c r="F123" i="9" s="1"/>
  <c r="H928" i="7"/>
  <c r="E124" i="9" s="1"/>
  <c r="E123" i="9" s="1"/>
  <c r="F928" i="7"/>
  <c r="D124" i="9" s="1"/>
  <c r="D123" i="9" s="1"/>
  <c r="J926" i="7"/>
  <c r="F122" i="9" s="1"/>
  <c r="F121" i="9" s="1"/>
  <c r="H926" i="7"/>
  <c r="E122" i="9" s="1"/>
  <c r="E121" i="9" s="1"/>
  <c r="F926" i="7"/>
  <c r="D122" i="9" s="1"/>
  <c r="D121" i="9" s="1"/>
  <c r="J924" i="7"/>
  <c r="F120" i="9" s="1"/>
  <c r="F119" i="9" s="1"/>
  <c r="H924" i="7"/>
  <c r="E120" i="9" s="1"/>
  <c r="E119" i="9" s="1"/>
  <c r="F924" i="7"/>
  <c r="D120" i="9" s="1"/>
  <c r="D119" i="9" s="1"/>
  <c r="H824" i="7"/>
  <c r="F824" i="7"/>
  <c r="J814" i="7"/>
  <c r="H814" i="7"/>
  <c r="J797" i="7"/>
  <c r="H797" i="7"/>
  <c r="F797" i="7"/>
  <c r="J794" i="7"/>
  <c r="H794" i="7"/>
  <c r="F794" i="7"/>
  <c r="J791" i="7"/>
  <c r="H791" i="7"/>
  <c r="F791" i="7"/>
  <c r="J788" i="7"/>
  <c r="H788" i="7"/>
  <c r="F788" i="7"/>
  <c r="J756" i="7"/>
  <c r="H756" i="7"/>
  <c r="F756" i="7"/>
  <c r="J755" i="7"/>
  <c r="H755" i="7"/>
  <c r="F755" i="7"/>
  <c r="J754" i="7"/>
  <c r="H754" i="7"/>
  <c r="F754" i="7"/>
  <c r="J747" i="7"/>
  <c r="H747" i="7"/>
  <c r="E177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5" i="7"/>
  <c r="H655" i="7"/>
  <c r="F655" i="7"/>
  <c r="J634" i="7"/>
  <c r="H634" i="7"/>
  <c r="F634" i="7"/>
  <c r="J628" i="7"/>
  <c r="H628" i="7"/>
  <c r="F628" i="7"/>
  <c r="J601" i="7"/>
  <c r="H601" i="7"/>
  <c r="F601" i="7"/>
  <c r="J598" i="7"/>
  <c r="H598" i="7"/>
  <c r="F598" i="7"/>
  <c r="J593" i="7"/>
  <c r="H593" i="7"/>
  <c r="F593" i="7"/>
  <c r="J553" i="7"/>
  <c r="H553" i="7"/>
  <c r="F553" i="7"/>
  <c r="J550" i="7"/>
  <c r="H550" i="7"/>
  <c r="E688" i="9" s="1"/>
  <c r="F550" i="7"/>
  <c r="D688" i="9" s="1"/>
  <c r="H539" i="7"/>
  <c r="F539" i="7"/>
  <c r="J530" i="7"/>
  <c r="J319" i="7"/>
  <c r="H319" i="7"/>
  <c r="F319" i="7"/>
  <c r="J182" i="7"/>
  <c r="H182" i="7"/>
  <c r="F182" i="7"/>
  <c r="J159" i="7"/>
  <c r="H159" i="7"/>
  <c r="F159" i="7"/>
  <c r="J156" i="7"/>
  <c r="H156" i="7"/>
  <c r="F156" i="7"/>
  <c r="J153" i="7"/>
  <c r="H153" i="7"/>
  <c r="F153" i="7"/>
  <c r="AE79" i="2"/>
  <c r="AF79" i="2"/>
  <c r="AD79" i="2"/>
  <c r="J119" i="7"/>
  <c r="H119" i="7"/>
  <c r="F119" i="7"/>
  <c r="J116" i="7"/>
  <c r="F548" i="9" s="1"/>
  <c r="F547" i="9" s="1"/>
  <c r="F546" i="9" s="1"/>
  <c r="H116" i="7"/>
  <c r="E548" i="9" s="1"/>
  <c r="E547" i="9" s="1"/>
  <c r="E546" i="9" s="1"/>
  <c r="F116" i="7"/>
  <c r="D548" i="9" s="1"/>
  <c r="D547" i="9" s="1"/>
  <c r="D546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6" i="9" l="1"/>
  <c r="E116" i="9"/>
  <c r="F116" i="9"/>
  <c r="D115" i="9"/>
  <c r="F115" i="9"/>
  <c r="D673" i="9"/>
  <c r="E115" i="9"/>
  <c r="AD789" i="2" l="1"/>
  <c r="AD788" i="2" s="1"/>
  <c r="AE1115" i="2" l="1"/>
  <c r="AE1114" i="2" s="1"/>
  <c r="AF1115" i="2"/>
  <c r="AF1114" i="2" s="1"/>
  <c r="AD1115" i="2"/>
  <c r="AD1114" i="2" s="1"/>
  <c r="AE1006" i="2"/>
  <c r="AE1005" i="2" s="1"/>
  <c r="AF1006" i="2"/>
  <c r="AF1005" i="2" s="1"/>
  <c r="AD1006" i="2"/>
  <c r="AD1005" i="2" s="1"/>
  <c r="AE789" i="2"/>
  <c r="AE788" i="2" s="1"/>
  <c r="AF789" i="2"/>
  <c r="AF788" i="2" s="1"/>
  <c r="AF1123" i="2"/>
  <c r="AF1122" i="2" s="1"/>
  <c r="AF1121" i="2" s="1"/>
  <c r="AF1120" i="2" s="1"/>
  <c r="AF1119" i="2" s="1"/>
  <c r="AF1118" i="2" s="1"/>
  <c r="AF1117" i="2" s="1"/>
  <c r="AE1123" i="2"/>
  <c r="AE1122" i="2" s="1"/>
  <c r="AE1121" i="2" s="1"/>
  <c r="AE1120" i="2" s="1"/>
  <c r="AE1119" i="2" s="1"/>
  <c r="AE1118" i="2" s="1"/>
  <c r="AE1117" i="2" s="1"/>
  <c r="AD1123" i="2"/>
  <c r="AD1122" i="2" s="1"/>
  <c r="AD1121" i="2" s="1"/>
  <c r="AD1120" i="2" s="1"/>
  <c r="AD1119" i="2" s="1"/>
  <c r="AD1118" i="2" s="1"/>
  <c r="AD1117" i="2" s="1"/>
  <c r="AF1112" i="2"/>
  <c r="AF1111" i="2" s="1"/>
  <c r="AE1112" i="2"/>
  <c r="AE1111" i="2" s="1"/>
  <c r="AD1112" i="2"/>
  <c r="AD1111" i="2" s="1"/>
  <c r="AF1109" i="2"/>
  <c r="AF1108" i="2" s="1"/>
  <c r="AE1109" i="2"/>
  <c r="AE1108" i="2" s="1"/>
  <c r="AD1109" i="2"/>
  <c r="AD1108" i="2" s="1"/>
  <c r="AF1106" i="2"/>
  <c r="AF1105" i="2" s="1"/>
  <c r="AE1106" i="2"/>
  <c r="AE1105" i="2" s="1"/>
  <c r="AD1106" i="2"/>
  <c r="AD1105" i="2" s="1"/>
  <c r="AF1067" i="2"/>
  <c r="AF1066" i="2" s="1"/>
  <c r="AF1065" i="2" s="1"/>
  <c r="AF1064" i="2" s="1"/>
  <c r="AF1063" i="2" s="1"/>
  <c r="AF1062" i="2" s="1"/>
  <c r="AE1067" i="2"/>
  <c r="AE1066" i="2" s="1"/>
  <c r="AE1065" i="2" s="1"/>
  <c r="AE1064" i="2" s="1"/>
  <c r="AE1063" i="2" s="1"/>
  <c r="AE1062" i="2" s="1"/>
  <c r="AD1067" i="2"/>
  <c r="AD1066" i="2" s="1"/>
  <c r="AD1065" i="2" s="1"/>
  <c r="AD1064" i="2" s="1"/>
  <c r="AD1063" i="2" s="1"/>
  <c r="AD1062" i="2" s="1"/>
  <c r="AF1048" i="2"/>
  <c r="AF1047" i="2" s="1"/>
  <c r="AE1048" i="2"/>
  <c r="AE1047" i="2" s="1"/>
  <c r="AD1048" i="2"/>
  <c r="AD1047" i="2" s="1"/>
  <c r="AF1045" i="2"/>
  <c r="AF1044" i="2" s="1"/>
  <c r="AE1045" i="2"/>
  <c r="AE1044" i="2" s="1"/>
  <c r="AD1045" i="2"/>
  <c r="AD1044" i="2" s="1"/>
  <c r="AF1040" i="2"/>
  <c r="AF1039" i="2" s="1"/>
  <c r="AE1040" i="2"/>
  <c r="AE1039" i="2" s="1"/>
  <c r="AD1040" i="2"/>
  <c r="AD1039" i="2" s="1"/>
  <c r="AF1003" i="2"/>
  <c r="AF1002" i="2" s="1"/>
  <c r="AE1003" i="2"/>
  <c r="AE1002" i="2" s="1"/>
  <c r="AD1003" i="2"/>
  <c r="AD1002" i="2" s="1"/>
  <c r="AE992" i="2"/>
  <c r="AE991" i="2" s="1"/>
  <c r="AE987" i="2" s="1"/>
  <c r="AD992" i="2"/>
  <c r="AD991" i="2" s="1"/>
  <c r="AD987" i="2" s="1"/>
  <c r="AF984" i="2"/>
  <c r="AF974" i="2" s="1"/>
  <c r="AF899" i="2"/>
  <c r="AF898" i="2" s="1"/>
  <c r="AF897" i="2" s="1"/>
  <c r="AF896" i="2" s="1"/>
  <c r="AF882" i="2" s="1"/>
  <c r="AE899" i="2"/>
  <c r="AE898" i="2" s="1"/>
  <c r="AE897" i="2" s="1"/>
  <c r="AE896" i="2" s="1"/>
  <c r="AE882" i="2" s="1"/>
  <c r="AF879" i="2"/>
  <c r="AF876" i="2" s="1"/>
  <c r="AE879" i="2"/>
  <c r="AE876" i="2" s="1"/>
  <c r="AD879" i="2"/>
  <c r="AD876" i="2" s="1"/>
  <c r="AF855" i="2"/>
  <c r="AE855" i="2"/>
  <c r="AD855" i="2"/>
  <c r="AF853" i="2"/>
  <c r="AE853" i="2"/>
  <c r="AD853" i="2"/>
  <c r="AF851" i="2"/>
  <c r="AE851" i="2"/>
  <c r="AD851" i="2"/>
  <c r="AF844" i="2"/>
  <c r="AF843" i="2" s="1"/>
  <c r="AF842" i="2" s="1"/>
  <c r="AF841" i="2" s="1"/>
  <c r="AF840" i="2" s="1"/>
  <c r="AF839" i="2" s="1"/>
  <c r="AE844" i="2"/>
  <c r="AE843" i="2" s="1"/>
  <c r="AE842" i="2" s="1"/>
  <c r="AE841" i="2" s="1"/>
  <c r="AE840" i="2" s="1"/>
  <c r="AE839" i="2" s="1"/>
  <c r="AD844" i="2"/>
  <c r="AD843" i="2" s="1"/>
  <c r="AD842" i="2" s="1"/>
  <c r="AD841" i="2" s="1"/>
  <c r="AD840" i="2" s="1"/>
  <c r="AD839" i="2" s="1"/>
  <c r="AE836" i="2"/>
  <c r="AE835" i="2" s="1"/>
  <c r="AE834" i="2" s="1"/>
  <c r="AD836" i="2"/>
  <c r="AD835" i="2" s="1"/>
  <c r="AD834" i="2" s="1"/>
  <c r="AF827" i="2"/>
  <c r="AF826" i="2" s="1"/>
  <c r="AE827" i="2"/>
  <c r="AE826" i="2" s="1"/>
  <c r="AD827" i="2"/>
  <c r="AD826" i="2" s="1"/>
  <c r="AF815" i="2"/>
  <c r="AF814" i="2" s="1"/>
  <c r="AE815" i="2"/>
  <c r="AE814" i="2" s="1"/>
  <c r="AD815" i="2"/>
  <c r="AD814" i="2" s="1"/>
  <c r="AF812" i="2"/>
  <c r="AF811" i="2" s="1"/>
  <c r="AE812" i="2"/>
  <c r="AE811" i="2" s="1"/>
  <c r="AD812" i="2"/>
  <c r="AD811" i="2" s="1"/>
  <c r="AF809" i="2"/>
  <c r="AF808" i="2" s="1"/>
  <c r="AE809" i="2"/>
  <c r="AE808" i="2" s="1"/>
  <c r="AD809" i="2"/>
  <c r="AD808" i="2" s="1"/>
  <c r="AF806" i="2"/>
  <c r="AF805" i="2" s="1"/>
  <c r="AE806" i="2"/>
  <c r="AE805" i="2" s="1"/>
  <c r="AD806" i="2"/>
  <c r="AD805" i="2" s="1"/>
  <c r="AD787" i="2"/>
  <c r="AF782" i="2"/>
  <c r="AF781" i="2" s="1"/>
  <c r="AF780" i="2" s="1"/>
  <c r="AE782" i="2"/>
  <c r="AE781" i="2" s="1"/>
  <c r="AE780" i="2" s="1"/>
  <c r="AD782" i="2"/>
  <c r="AD781" i="2" s="1"/>
  <c r="AD780" i="2" s="1"/>
  <c r="AF773" i="2"/>
  <c r="AF772" i="2" s="1"/>
  <c r="AE773" i="2"/>
  <c r="AE772" i="2" s="1"/>
  <c r="AD773" i="2"/>
  <c r="AD772" i="2" s="1"/>
  <c r="AF742" i="2"/>
  <c r="AF741" i="2" s="1"/>
  <c r="AF740" i="2" s="1"/>
  <c r="AE742" i="2"/>
  <c r="AE741" i="2" s="1"/>
  <c r="AE740" i="2" s="1"/>
  <c r="AD742" i="2"/>
  <c r="AD741" i="2" s="1"/>
  <c r="AD740" i="2" s="1"/>
  <c r="AF728" i="2"/>
  <c r="AF727" i="2" s="1"/>
  <c r="AF726" i="2" s="1"/>
  <c r="AE728" i="2"/>
  <c r="AE727" i="2" s="1"/>
  <c r="AE726" i="2" s="1"/>
  <c r="AD728" i="2"/>
  <c r="AD727" i="2" s="1"/>
  <c r="AD726" i="2" s="1"/>
  <c r="AF715" i="2"/>
  <c r="AF714" i="2" s="1"/>
  <c r="AE715" i="2"/>
  <c r="AE714" i="2" s="1"/>
  <c r="AD715" i="2"/>
  <c r="AD714" i="2" s="1"/>
  <c r="AF712" i="2"/>
  <c r="AF709" i="2" s="1"/>
  <c r="AE712" i="2"/>
  <c r="AE709" i="2" s="1"/>
  <c r="AD712" i="2"/>
  <c r="AD709" i="2" s="1"/>
  <c r="AF707" i="2"/>
  <c r="AF706" i="2" s="1"/>
  <c r="AE707" i="2"/>
  <c r="AE706" i="2" s="1"/>
  <c r="AD707" i="2"/>
  <c r="AD706" i="2" s="1"/>
  <c r="AF686" i="2"/>
  <c r="AF685" i="2" s="1"/>
  <c r="AE686" i="2"/>
  <c r="AE685" i="2" s="1"/>
  <c r="AD686" i="2"/>
  <c r="AD685" i="2" s="1"/>
  <c r="AF680" i="2"/>
  <c r="AF679" i="2" s="1"/>
  <c r="AF678" i="2" s="1"/>
  <c r="AE680" i="2"/>
  <c r="AE679" i="2" s="1"/>
  <c r="AE678" i="2" s="1"/>
  <c r="AD680" i="2"/>
  <c r="AD679" i="2" s="1"/>
  <c r="AD678" i="2" s="1"/>
  <c r="AF671" i="2"/>
  <c r="AF670" i="2" s="1"/>
  <c r="AF669" i="2" s="1"/>
  <c r="AF668" i="2" s="1"/>
  <c r="AF667" i="2" s="1"/>
  <c r="AF666" i="2" s="1"/>
  <c r="AF665" i="2" s="1"/>
  <c r="AE671" i="2"/>
  <c r="AE670" i="2" s="1"/>
  <c r="AE669" i="2" s="1"/>
  <c r="AE668" i="2" s="1"/>
  <c r="AE667" i="2" s="1"/>
  <c r="AE666" i="2" s="1"/>
  <c r="AE665" i="2" s="1"/>
  <c r="AD671" i="2"/>
  <c r="AD670" i="2" s="1"/>
  <c r="AD669" i="2" s="1"/>
  <c r="AD668" i="2" s="1"/>
  <c r="AD667" i="2" s="1"/>
  <c r="AD666" i="2" s="1"/>
  <c r="AD665" i="2" s="1"/>
  <c r="AF662" i="2"/>
  <c r="AE662" i="2"/>
  <c r="AE661" i="2" s="1"/>
  <c r="AD662" i="2"/>
  <c r="AD661" i="2" s="1"/>
  <c r="AF655" i="2"/>
  <c r="AF654" i="2" s="1"/>
  <c r="AF653" i="2" s="1"/>
  <c r="AF652" i="2" s="1"/>
  <c r="AF651" i="2" s="1"/>
  <c r="AF650" i="2" s="1"/>
  <c r="AE655" i="2"/>
  <c r="AE654" i="2" s="1"/>
  <c r="AE653" i="2" s="1"/>
  <c r="AE652" i="2" s="1"/>
  <c r="AE651" i="2" s="1"/>
  <c r="AE650" i="2" s="1"/>
  <c r="AD655" i="2"/>
  <c r="AD654" i="2" s="1"/>
  <c r="AD653" i="2" s="1"/>
  <c r="AD652" i="2" s="1"/>
  <c r="AD651" i="2" s="1"/>
  <c r="AD650" i="2" s="1"/>
  <c r="AF635" i="2"/>
  <c r="AE635" i="2"/>
  <c r="AD635" i="2"/>
  <c r="AB635" i="2"/>
  <c r="AB634" i="2" s="1"/>
  <c r="AF634" i="2"/>
  <c r="AE634" i="2"/>
  <c r="AD634" i="2"/>
  <c r="AF632" i="2"/>
  <c r="AE632" i="2"/>
  <c r="AD632" i="2"/>
  <c r="AB632" i="2"/>
  <c r="AB631" i="2" s="1"/>
  <c r="AF631" i="2"/>
  <c r="AE631" i="2"/>
  <c r="AD631" i="2"/>
  <c r="AF629" i="2"/>
  <c r="AF628" i="2" s="1"/>
  <c r="AE629" i="2"/>
  <c r="AE628" i="2" s="1"/>
  <c r="AD629" i="2"/>
  <c r="AD628" i="2" s="1"/>
  <c r="AF624" i="2"/>
  <c r="AE624" i="2"/>
  <c r="AD624" i="2"/>
  <c r="AF622" i="2"/>
  <c r="AE622" i="2"/>
  <c r="AD622" i="2"/>
  <c r="AF616" i="2"/>
  <c r="AE616" i="2"/>
  <c r="AD616" i="2"/>
  <c r="AE998" i="2" l="1"/>
  <c r="AE997" i="2" s="1"/>
  <c r="AD771" i="2"/>
  <c r="AD770" i="2" s="1"/>
  <c r="AE771" i="2"/>
  <c r="AE770" i="2" s="1"/>
  <c r="AF771" i="2"/>
  <c r="AF770" i="2" s="1"/>
  <c r="AD998" i="2"/>
  <c r="AD997" i="2" s="1"/>
  <c r="AF998" i="2"/>
  <c r="AF997" i="2" s="1"/>
  <c r="AD705" i="2"/>
  <c r="AD701" i="2" s="1"/>
  <c r="AE615" i="2"/>
  <c r="AE614" i="2" s="1"/>
  <c r="AF615" i="2"/>
  <c r="AF614" i="2" s="1"/>
  <c r="AD615" i="2"/>
  <c r="AD614" i="2" s="1"/>
  <c r="AE677" i="2"/>
  <c r="AE676" i="2" s="1"/>
  <c r="AF677" i="2"/>
  <c r="AF676" i="2" s="1"/>
  <c r="AD677" i="2"/>
  <c r="AD676" i="2" s="1"/>
  <c r="AE660" i="2"/>
  <c r="AE659" i="2" s="1"/>
  <c r="AE658" i="2" s="1"/>
  <c r="AE657" i="2" s="1"/>
  <c r="AE649" i="2" s="1"/>
  <c r="AD660" i="2"/>
  <c r="AD659" i="2" s="1"/>
  <c r="AD658" i="2" s="1"/>
  <c r="AD657" i="2" s="1"/>
  <c r="AD649" i="2" s="1"/>
  <c r="AE779" i="2"/>
  <c r="AF779" i="2"/>
  <c r="AF705" i="2"/>
  <c r="AF701" i="2" s="1"/>
  <c r="AF700" i="2" s="1"/>
  <c r="AE705" i="2"/>
  <c r="AE701" i="2" s="1"/>
  <c r="AE700" i="2" s="1"/>
  <c r="AF661" i="2"/>
  <c r="AD875" i="2"/>
  <c r="AD874" i="2" s="1"/>
  <c r="AD873" i="2" s="1"/>
  <c r="AD872" i="2" s="1"/>
  <c r="AE875" i="2"/>
  <c r="AE874" i="2" s="1"/>
  <c r="AE873" i="2" s="1"/>
  <c r="AE872" i="2" s="1"/>
  <c r="AF875" i="2"/>
  <c r="AF874" i="2" s="1"/>
  <c r="AF873" i="2" s="1"/>
  <c r="AF872" i="2" s="1"/>
  <c r="AD830" i="2"/>
  <c r="AD829" i="2" s="1"/>
  <c r="AD825" i="2" s="1"/>
  <c r="AD821" i="2" s="1"/>
  <c r="AD820" i="2" s="1"/>
  <c r="F818" i="7"/>
  <c r="AF829" i="2"/>
  <c r="AF825" i="2" s="1"/>
  <c r="AE830" i="2"/>
  <c r="AE829" i="2" s="1"/>
  <c r="AE825" i="2" s="1"/>
  <c r="AD984" i="2"/>
  <c r="AD974" i="2" s="1"/>
  <c r="AF992" i="2"/>
  <c r="AF991" i="2" s="1"/>
  <c r="AF987" i="2" s="1"/>
  <c r="J539" i="7"/>
  <c r="AE984" i="2"/>
  <c r="AE974" i="2" s="1"/>
  <c r="H530" i="7"/>
  <c r="AD1084" i="2"/>
  <c r="AD1083" i="2" s="1"/>
  <c r="AD1079" i="2" s="1"/>
  <c r="F937" i="7"/>
  <c r="AF1084" i="2"/>
  <c r="AF1083" i="2" s="1"/>
  <c r="AF1079" i="2" s="1"/>
  <c r="AF836" i="2"/>
  <c r="AF835" i="2" s="1"/>
  <c r="AF834" i="2" s="1"/>
  <c r="J824" i="7"/>
  <c r="AD899" i="2"/>
  <c r="AE1084" i="2"/>
  <c r="AE1083" i="2" s="1"/>
  <c r="AE1079" i="2" s="1"/>
  <c r="H937" i="7"/>
  <c r="AE1104" i="2"/>
  <c r="AE1103" i="2" s="1"/>
  <c r="AE1096" i="2" s="1"/>
  <c r="AF1104" i="2"/>
  <c r="AF1103" i="2" s="1"/>
  <c r="AF1096" i="2" s="1"/>
  <c r="AD1104" i="2"/>
  <c r="AD1103" i="2" s="1"/>
  <c r="AD1096" i="2" s="1"/>
  <c r="AE627" i="2"/>
  <c r="AE626" i="2" s="1"/>
  <c r="AE787" i="2"/>
  <c r="AF627" i="2"/>
  <c r="AF626" i="2" s="1"/>
  <c r="AF850" i="2"/>
  <c r="AF849" i="2" s="1"/>
  <c r="AF848" i="2" s="1"/>
  <c r="AF847" i="2" s="1"/>
  <c r="AF846" i="2" s="1"/>
  <c r="AF838" i="2" s="1"/>
  <c r="AF621" i="2"/>
  <c r="AF620" i="2" s="1"/>
  <c r="AD627" i="2"/>
  <c r="AD626" i="2" s="1"/>
  <c r="AE621" i="2"/>
  <c r="AE620" i="2" s="1"/>
  <c r="AE850" i="2"/>
  <c r="AE849" i="2" s="1"/>
  <c r="AE848" i="2" s="1"/>
  <c r="AE847" i="2" s="1"/>
  <c r="AE846" i="2" s="1"/>
  <c r="AE838" i="2" s="1"/>
  <c r="AD1038" i="2"/>
  <c r="AD1037" i="2" s="1"/>
  <c r="AD621" i="2"/>
  <c r="AD620" i="2" s="1"/>
  <c r="AF914" i="2"/>
  <c r="AE914" i="2"/>
  <c r="AE804" i="2"/>
  <c r="AE803" i="2" s="1"/>
  <c r="AE802" i="2" s="1"/>
  <c r="AE801" i="2" s="1"/>
  <c r="AD850" i="2"/>
  <c r="AD849" i="2" s="1"/>
  <c r="AD848" i="2" s="1"/>
  <c r="AD847" i="2" s="1"/>
  <c r="AD846" i="2" s="1"/>
  <c r="AD838" i="2" s="1"/>
  <c r="AF1038" i="2"/>
  <c r="AF1037" i="2" s="1"/>
  <c r="AF804" i="2"/>
  <c r="AF803" i="2" s="1"/>
  <c r="AF802" i="2" s="1"/>
  <c r="AF801" i="2" s="1"/>
  <c r="AD804" i="2"/>
  <c r="AD803" i="2" s="1"/>
  <c r="AD802" i="2" s="1"/>
  <c r="AD801" i="2" s="1"/>
  <c r="AF787" i="2"/>
  <c r="AE1038" i="2"/>
  <c r="AE1037" i="2" s="1"/>
  <c r="AE1036" i="2" s="1"/>
  <c r="AF607" i="2"/>
  <c r="AF606" i="2" s="1"/>
  <c r="AF605" i="2" s="1"/>
  <c r="AF604" i="2" s="1"/>
  <c r="AF603" i="2" s="1"/>
  <c r="AF602" i="2" s="1"/>
  <c r="AF601" i="2" s="1"/>
  <c r="AE607" i="2"/>
  <c r="AE606" i="2" s="1"/>
  <c r="AE605" i="2" s="1"/>
  <c r="AE604" i="2" s="1"/>
  <c r="AE603" i="2" s="1"/>
  <c r="AE602" i="2" s="1"/>
  <c r="AE601" i="2" s="1"/>
  <c r="AD607" i="2"/>
  <c r="AD606" i="2" s="1"/>
  <c r="AD605" i="2" s="1"/>
  <c r="AD604" i="2" s="1"/>
  <c r="AD603" i="2" s="1"/>
  <c r="AD602" i="2" s="1"/>
  <c r="AD601" i="2" s="1"/>
  <c r="AF589" i="2"/>
  <c r="AE589" i="2"/>
  <c r="AD589" i="2"/>
  <c r="AB589" i="2"/>
  <c r="AB588" i="2" s="1"/>
  <c r="AF588" i="2"/>
  <c r="AE588" i="2"/>
  <c r="AD588" i="2"/>
  <c r="AF586" i="2"/>
  <c r="AE586" i="2"/>
  <c r="AD586" i="2"/>
  <c r="AB586" i="2"/>
  <c r="AB585" i="2" s="1"/>
  <c r="AF585" i="2"/>
  <c r="AE585" i="2"/>
  <c r="AD585" i="2"/>
  <c r="AF583" i="2"/>
  <c r="AF582" i="2" s="1"/>
  <c r="AE583" i="2"/>
  <c r="AE582" i="2" s="1"/>
  <c r="AD583" i="2"/>
  <c r="AD582" i="2" s="1"/>
  <c r="AD700" i="2" l="1"/>
  <c r="AD699" i="2" s="1"/>
  <c r="AD698" i="2" s="1"/>
  <c r="AE699" i="2"/>
  <c r="AE698" i="2" s="1"/>
  <c r="AD779" i="2"/>
  <c r="AD778" i="2" s="1"/>
  <c r="AD769" i="2" s="1"/>
  <c r="AD768" i="2" s="1"/>
  <c r="AD898" i="2"/>
  <c r="AF660" i="2"/>
  <c r="AF659" i="2" s="1"/>
  <c r="AF658" i="2" s="1"/>
  <c r="AF657" i="2" s="1"/>
  <c r="AF649" i="2" s="1"/>
  <c r="AE581" i="2"/>
  <c r="AD1078" i="2"/>
  <c r="AD1077" i="2" s="1"/>
  <c r="AD1076" i="2" s="1"/>
  <c r="AD1061" i="2" s="1"/>
  <c r="AF1078" i="2"/>
  <c r="AF1077" i="2" s="1"/>
  <c r="AF1076" i="2" s="1"/>
  <c r="AF1061" i="2" s="1"/>
  <c r="AE1078" i="2"/>
  <c r="AE1077" i="2" s="1"/>
  <c r="AE1076" i="2" s="1"/>
  <c r="AE1061" i="2" s="1"/>
  <c r="AE973" i="2"/>
  <c r="AD973" i="2"/>
  <c r="AD972" i="2" s="1"/>
  <c r="AD971" i="2" s="1"/>
  <c r="AD1095" i="2"/>
  <c r="AD1094" i="2" s="1"/>
  <c r="AF1095" i="2"/>
  <c r="AF1094" i="2" s="1"/>
  <c r="AE1095" i="2"/>
  <c r="AE1094" i="2" s="1"/>
  <c r="AE821" i="2"/>
  <c r="AE820" i="2" s="1"/>
  <c r="AE819" i="2" s="1"/>
  <c r="AF821" i="2"/>
  <c r="AF820" i="2" s="1"/>
  <c r="AF819" i="2" s="1"/>
  <c r="AE778" i="2"/>
  <c r="AE769" i="2" s="1"/>
  <c r="AE768" i="2" s="1"/>
  <c r="AD833" i="2"/>
  <c r="AD832" i="2" s="1"/>
  <c r="AF778" i="2"/>
  <c r="AF769" i="2" s="1"/>
  <c r="AF768" i="2" s="1"/>
  <c r="AF833" i="2"/>
  <c r="AF832" i="2" s="1"/>
  <c r="AE833" i="2"/>
  <c r="AE832" i="2" s="1"/>
  <c r="AF675" i="2"/>
  <c r="AF674" i="2" s="1"/>
  <c r="AE675" i="2"/>
  <c r="AE674" i="2" s="1"/>
  <c r="AD819" i="2"/>
  <c r="AF1036" i="2"/>
  <c r="AD1036" i="2"/>
  <c r="AD914" i="2"/>
  <c r="AD581" i="2"/>
  <c r="AD580" i="2" s="1"/>
  <c r="AD579" i="2" s="1"/>
  <c r="AD613" i="2"/>
  <c r="AD612" i="2" s="1"/>
  <c r="AD611" i="2" s="1"/>
  <c r="AE613" i="2"/>
  <c r="AE612" i="2" s="1"/>
  <c r="AE611" i="2" s="1"/>
  <c r="AF613" i="2"/>
  <c r="AF612" i="2" s="1"/>
  <c r="AF611" i="2" s="1"/>
  <c r="AE580" i="2"/>
  <c r="AE579" i="2" s="1"/>
  <c r="AF581" i="2"/>
  <c r="AF580" i="2" s="1"/>
  <c r="AF579" i="2" s="1"/>
  <c r="AF973" i="2"/>
  <c r="AD610" i="2" l="1"/>
  <c r="AD609" i="2" s="1"/>
  <c r="AE881" i="2"/>
  <c r="AE871" i="2" s="1"/>
  <c r="AD897" i="2"/>
  <c r="AD896" i="2" s="1"/>
  <c r="AF578" i="2"/>
  <c r="AF577" i="2" s="1"/>
  <c r="AF576" i="2" s="1"/>
  <c r="AE578" i="2"/>
  <c r="AE577" i="2" s="1"/>
  <c r="AE576" i="2" s="1"/>
  <c r="AD578" i="2"/>
  <c r="AD577" i="2" s="1"/>
  <c r="AD576" i="2" s="1"/>
  <c r="AF800" i="2"/>
  <c r="AD800" i="2"/>
  <c r="AE800" i="2"/>
  <c r="AE1028" i="2"/>
  <c r="AE1021" i="2" s="1"/>
  <c r="AD1028" i="2"/>
  <c r="AD1021" i="2" s="1"/>
  <c r="AD907" i="2" s="1"/>
  <c r="AF1028" i="2"/>
  <c r="AF1021" i="2" s="1"/>
  <c r="AD675" i="2"/>
  <c r="AD674" i="2" s="1"/>
  <c r="AF699" i="2"/>
  <c r="AF698" i="2" s="1"/>
  <c r="AF610" i="2"/>
  <c r="AF609" i="2" s="1"/>
  <c r="AE610" i="2"/>
  <c r="AE609" i="2" s="1"/>
  <c r="AD882" i="2" l="1"/>
  <c r="AD881" i="2" s="1"/>
  <c r="AD871" i="2" s="1"/>
  <c r="AF673" i="2"/>
  <c r="AF664" i="2" s="1"/>
  <c r="AE673" i="2"/>
  <c r="AE664" i="2" s="1"/>
  <c r="AD575" i="2"/>
  <c r="AE575" i="2"/>
  <c r="AF575" i="2"/>
  <c r="AD673" i="2"/>
  <c r="AD664" i="2" s="1"/>
  <c r="AF573" i="2"/>
  <c r="AF572" i="2" s="1"/>
  <c r="AF571" i="2" s="1"/>
  <c r="AF570" i="2" s="1"/>
  <c r="AF569" i="2" s="1"/>
  <c r="AE573" i="2"/>
  <c r="AE572" i="2" s="1"/>
  <c r="AE571" i="2" s="1"/>
  <c r="AE570" i="2" s="1"/>
  <c r="AE569" i="2" s="1"/>
  <c r="AD573" i="2"/>
  <c r="AD572" i="2" s="1"/>
  <c r="AD571" i="2" s="1"/>
  <c r="AD570" i="2" s="1"/>
  <c r="AD569" i="2" s="1"/>
  <c r="AF565" i="2"/>
  <c r="AF564" i="2" s="1"/>
  <c r="AE565" i="2"/>
  <c r="AE564" i="2" s="1"/>
  <c r="AD565" i="2"/>
  <c r="AD564" i="2" s="1"/>
  <c r="AF562" i="2"/>
  <c r="AF561" i="2" s="1"/>
  <c r="AE562" i="2"/>
  <c r="AE561" i="2" s="1"/>
  <c r="AD562" i="2"/>
  <c r="AD561" i="2" s="1"/>
  <c r="AF559" i="2"/>
  <c r="AF558" i="2" s="1"/>
  <c r="AE559" i="2"/>
  <c r="AE558" i="2" s="1"/>
  <c r="AD559" i="2"/>
  <c r="AD558" i="2" s="1"/>
  <c r="AF555" i="2"/>
  <c r="AE555" i="2"/>
  <c r="AD555" i="2"/>
  <c r="AF554" i="2"/>
  <c r="AE554" i="2"/>
  <c r="AD554" i="2"/>
  <c r="AF552" i="2"/>
  <c r="AF551" i="2" s="1"/>
  <c r="AE552" i="2"/>
  <c r="AE551" i="2" s="1"/>
  <c r="AD552" i="2"/>
  <c r="AD551" i="2" s="1"/>
  <c r="AD857" i="2" l="1"/>
  <c r="AD557" i="2"/>
  <c r="AD550" i="2" s="1"/>
  <c r="AD543" i="2" s="1"/>
  <c r="AE568" i="2"/>
  <c r="AE567" i="2" s="1"/>
  <c r="AF568" i="2"/>
  <c r="AF567" i="2" s="1"/>
  <c r="AE557" i="2"/>
  <c r="AD568" i="2"/>
  <c r="AD567" i="2" s="1"/>
  <c r="AF557" i="2"/>
  <c r="AF550" i="2" l="1"/>
  <c r="AF543" i="2" s="1"/>
  <c r="AF542" i="2" s="1"/>
  <c r="AF541" i="2" s="1"/>
  <c r="AE550" i="2"/>
  <c r="AE543" i="2" s="1"/>
  <c r="AE542" i="2" s="1"/>
  <c r="AE541" i="2" s="1"/>
  <c r="AD542" i="2"/>
  <c r="AD541" i="2" s="1"/>
  <c r="F489" i="7" l="1"/>
  <c r="D300" i="9" s="1"/>
  <c r="H489" i="7"/>
  <c r="F776" i="9" l="1"/>
  <c r="F775" i="9" s="1"/>
  <c r="F774" i="9" s="1"/>
  <c r="E776" i="9"/>
  <c r="E775" i="9" s="1"/>
  <c r="E774" i="9" s="1"/>
  <c r="D776" i="9"/>
  <c r="D775" i="9" s="1"/>
  <c r="D774" i="9" s="1"/>
  <c r="F118" i="7" l="1"/>
  <c r="F117" i="7" s="1"/>
  <c r="J118" i="7"/>
  <c r="J117" i="7" s="1"/>
  <c r="H118" i="7"/>
  <c r="H117" i="7" s="1"/>
  <c r="D224" i="9"/>
  <c r="D223" i="9" s="1"/>
  <c r="H552" i="7"/>
  <c r="H551" i="7" s="1"/>
  <c r="E137" i="9"/>
  <c r="E136" i="9" s="1"/>
  <c r="E135" i="9" s="1"/>
  <c r="E134" i="9" s="1"/>
  <c r="F137" i="9"/>
  <c r="F136" i="9" s="1"/>
  <c r="F135" i="9" s="1"/>
  <c r="F134" i="9" s="1"/>
  <c r="F737" i="7"/>
  <c r="F736" i="7" s="1"/>
  <c r="D175" i="9"/>
  <c r="D174" i="9" s="1"/>
  <c r="D184" i="9"/>
  <c r="D185" i="9"/>
  <c r="D186" i="9"/>
  <c r="D192" i="9"/>
  <c r="D191" i="9" s="1"/>
  <c r="D190" i="9" s="1"/>
  <c r="D195" i="9"/>
  <c r="D194" i="9" s="1"/>
  <c r="D193" i="9" s="1"/>
  <c r="D198" i="9"/>
  <c r="D197" i="9" s="1"/>
  <c r="D196" i="9" s="1"/>
  <c r="D201" i="9"/>
  <c r="D200" i="9" s="1"/>
  <c r="D199" i="9" s="1"/>
  <c r="D687" i="9"/>
  <c r="D686" i="9" s="1"/>
  <c r="D731" i="9"/>
  <c r="D730" i="9" s="1"/>
  <c r="D729" i="9" s="1"/>
  <c r="D736" i="9"/>
  <c r="D735" i="9" s="1"/>
  <c r="D734" i="9" s="1"/>
  <c r="D739" i="9"/>
  <c r="D738" i="9" s="1"/>
  <c r="D737" i="9" s="1"/>
  <c r="D672" i="9"/>
  <c r="D671" i="9" s="1"/>
  <c r="D667" i="9" s="1"/>
  <c r="D634" i="9"/>
  <c r="D633" i="9" s="1"/>
  <c r="D632" i="9" s="1"/>
  <c r="D631" i="9" s="1"/>
  <c r="F359" i="7"/>
  <c r="F333" i="7"/>
  <c r="D597" i="9" s="1"/>
  <c r="D596" i="9" s="1"/>
  <c r="D595" i="9" s="1"/>
  <c r="D594" i="9" s="1"/>
  <c r="D609" i="9"/>
  <c r="D608" i="9" s="1"/>
  <c r="D607" i="9" s="1"/>
  <c r="D598" i="9" s="1"/>
  <c r="F87" i="7"/>
  <c r="D555" i="9" s="1"/>
  <c r="F509" i="7"/>
  <c r="D559" i="9" s="1"/>
  <c r="D570" i="9"/>
  <c r="D569" i="9" s="1"/>
  <c r="D568" i="9" s="1"/>
  <c r="F230" i="7"/>
  <c r="F205" i="7"/>
  <c r="F204" i="7" s="1"/>
  <c r="F203" i="7" s="1"/>
  <c r="F202" i="7" s="1"/>
  <c r="F201" i="7" s="1"/>
  <c r="F200" i="7" s="1"/>
  <c r="D446" i="9"/>
  <c r="D445" i="9" s="1"/>
  <c r="F138" i="7"/>
  <c r="F140" i="7"/>
  <c r="D450" i="9" s="1"/>
  <c r="D449" i="9" s="1"/>
  <c r="F404" i="7"/>
  <c r="D455" i="9" s="1"/>
  <c r="D454" i="9" s="1"/>
  <c r="D453" i="9" s="1"/>
  <c r="F145" i="7"/>
  <c r="D466" i="9"/>
  <c r="D465" i="9" s="1"/>
  <c r="D464" i="9" s="1"/>
  <c r="D469" i="9"/>
  <c r="D468" i="9" s="1"/>
  <c r="D467" i="9" s="1"/>
  <c r="F22" i="7"/>
  <c r="F69" i="7"/>
  <c r="D488" i="9" s="1"/>
  <c r="F74" i="7"/>
  <c r="D493" i="9" s="1"/>
  <c r="D492" i="9" s="1"/>
  <c r="D491" i="9" s="1"/>
  <c r="F77" i="7"/>
  <c r="D496" i="9" s="1"/>
  <c r="D495" i="9" s="1"/>
  <c r="D494" i="9" s="1"/>
  <c r="F237" i="7"/>
  <c r="D509" i="9" s="1"/>
  <c r="D508" i="9" s="1"/>
  <c r="D507" i="9" s="1"/>
  <c r="F168" i="7"/>
  <c r="D515" i="9" s="1"/>
  <c r="D514" i="9" s="1"/>
  <c r="D513" i="9" s="1"/>
  <c r="D529" i="9"/>
  <c r="D528" i="9" s="1"/>
  <c r="D523" i="9" s="1"/>
  <c r="D533" i="9"/>
  <c r="D532" i="9" s="1"/>
  <c r="F188" i="7"/>
  <c r="D535" i="9" s="1"/>
  <c r="D534" i="9" s="1"/>
  <c r="F327" i="7"/>
  <c r="D545" i="9" s="1"/>
  <c r="D544" i="9" s="1"/>
  <c r="D543" i="9" s="1"/>
  <c r="F191" i="7"/>
  <c r="D538" i="9" s="1"/>
  <c r="D537" i="9" s="1"/>
  <c r="F193" i="7"/>
  <c r="D540" i="9" s="1"/>
  <c r="D539" i="9" s="1"/>
  <c r="D503" i="9"/>
  <c r="D502" i="9" s="1"/>
  <c r="D501" i="9" s="1"/>
  <c r="D506" i="9"/>
  <c r="D505" i="9" s="1"/>
  <c r="D504" i="9" s="1"/>
  <c r="D477" i="9"/>
  <c r="D476" i="9" s="1"/>
  <c r="D475" i="9" s="1"/>
  <c r="D474" i="9" s="1"/>
  <c r="D473" i="9" s="1"/>
  <c r="D364" i="9"/>
  <c r="D363" i="9" s="1"/>
  <c r="D362" i="9" s="1"/>
  <c r="D358" i="9" s="1"/>
  <c r="F763" i="7"/>
  <c r="D289" i="9" s="1"/>
  <c r="F304" i="7"/>
  <c r="D293" i="9" s="1"/>
  <c r="F300" i="7"/>
  <c r="F387" i="7"/>
  <c r="D299" i="9"/>
  <c r="D298" i="9" s="1"/>
  <c r="F492" i="7"/>
  <c r="D303" i="9" s="1"/>
  <c r="D302" i="9" s="1"/>
  <c r="F494" i="7"/>
  <c r="D305" i="9" s="1"/>
  <c r="D304" i="9" s="1"/>
  <c r="F390" i="7"/>
  <c r="F260" i="7"/>
  <c r="D315" i="9" s="1"/>
  <c r="D314" i="9" s="1"/>
  <c r="D313" i="9" s="1"/>
  <c r="F245" i="7"/>
  <c r="D326" i="9" s="1"/>
  <c r="D325" i="9" s="1"/>
  <c r="D324" i="9" s="1"/>
  <c r="D323" i="9" s="1"/>
  <c r="F271" i="7"/>
  <c r="D339" i="9" s="1"/>
  <c r="D338" i="9" s="1"/>
  <c r="D337" i="9" s="1"/>
  <c r="D336" i="9" s="1"/>
  <c r="F253" i="7"/>
  <c r="D334" i="9" s="1"/>
  <c r="D333" i="9" s="1"/>
  <c r="D332" i="9" s="1"/>
  <c r="D331" i="9" s="1"/>
  <c r="F285" i="7"/>
  <c r="D273" i="9"/>
  <c r="D252" i="9"/>
  <c r="D251" i="9" s="1"/>
  <c r="F903" i="7"/>
  <c r="F902" i="7" s="1"/>
  <c r="AD408" i="2"/>
  <c r="AD407" i="2" s="1"/>
  <c r="D227" i="9"/>
  <c r="D226" i="9" s="1"/>
  <c r="D225" i="9" s="1"/>
  <c r="F952" i="7"/>
  <c r="D242" i="9" s="1"/>
  <c r="F53" i="7"/>
  <c r="F55" i="7"/>
  <c r="F54" i="7" s="1"/>
  <c r="F837" i="7"/>
  <c r="D29" i="9" s="1"/>
  <c r="D28" i="9" s="1"/>
  <c r="D27" i="9" s="1"/>
  <c r="D26" i="9" s="1"/>
  <c r="D25" i="9" s="1"/>
  <c r="F846" i="7"/>
  <c r="F849" i="7"/>
  <c r="D63" i="9"/>
  <c r="D62" i="9" s="1"/>
  <c r="D61" i="9" s="1"/>
  <c r="D66" i="9"/>
  <c r="D65" i="9" s="1"/>
  <c r="D64" i="9" s="1"/>
  <c r="F721" i="7"/>
  <c r="D79" i="9" s="1"/>
  <c r="D78" i="9" s="1"/>
  <c r="D77" i="9" s="1"/>
  <c r="D76" i="9" s="1"/>
  <c r="D75" i="9" s="1"/>
  <c r="D750" i="9"/>
  <c r="D749" i="9" s="1"/>
  <c r="D748" i="9" s="1"/>
  <c r="D757" i="9"/>
  <c r="D756" i="9" s="1"/>
  <c r="D755" i="9" s="1"/>
  <c r="D760" i="9"/>
  <c r="D759" i="9" s="1"/>
  <c r="D758" i="9" s="1"/>
  <c r="D763" i="9"/>
  <c r="D762" i="9" s="1"/>
  <c r="D761" i="9" s="1"/>
  <c r="D767" i="9"/>
  <c r="D766" i="9" s="1"/>
  <c r="D765" i="9" s="1"/>
  <c r="D773" i="9"/>
  <c r="D772" i="9" s="1"/>
  <c r="D771" i="9" s="1"/>
  <c r="F129" i="7"/>
  <c r="H901" i="7"/>
  <c r="H899" i="7" s="1"/>
  <c r="H898" i="7" s="1"/>
  <c r="H811" i="7"/>
  <c r="H952" i="7"/>
  <c r="H53" i="7"/>
  <c r="H55" i="7"/>
  <c r="J811" i="7"/>
  <c r="J952" i="7"/>
  <c r="J53" i="7"/>
  <c r="J55" i="7"/>
  <c r="H852" i="7"/>
  <c r="J600" i="7"/>
  <c r="J599" i="7" s="1"/>
  <c r="H592" i="7"/>
  <c r="H591" i="7" s="1"/>
  <c r="H600" i="7"/>
  <c r="H599" i="7" s="1"/>
  <c r="G529" i="7"/>
  <c r="G678" i="7"/>
  <c r="G677" i="7" s="1"/>
  <c r="G810" i="7"/>
  <c r="G809" i="7" s="1"/>
  <c r="H404" i="7"/>
  <c r="H538" i="7"/>
  <c r="H537" i="7" s="1"/>
  <c r="H533" i="7" s="1"/>
  <c r="H509" i="7"/>
  <c r="H508" i="7" s="1"/>
  <c r="H507" i="7" s="1"/>
  <c r="H506" i="7" s="1"/>
  <c r="H505" i="7" s="1"/>
  <c r="H504" i="7" s="1"/>
  <c r="H492" i="7"/>
  <c r="H491" i="7" s="1"/>
  <c r="H494" i="7"/>
  <c r="H493" i="7" s="1"/>
  <c r="H347" i="7"/>
  <c r="H346" i="7" s="1"/>
  <c r="H337" i="7" s="1"/>
  <c r="H359" i="7"/>
  <c r="H327" i="7"/>
  <c r="H326" i="7" s="1"/>
  <c r="H325" i="7" s="1"/>
  <c r="H324" i="7" s="1"/>
  <c r="H323" i="7" s="1"/>
  <c r="H322" i="7" s="1"/>
  <c r="H321" i="7" s="1"/>
  <c r="H333" i="7"/>
  <c r="H332" i="7" s="1"/>
  <c r="H331" i="7" s="1"/>
  <c r="H387" i="7"/>
  <c r="H386" i="7" s="1"/>
  <c r="H385" i="7" s="1"/>
  <c r="H390" i="7"/>
  <c r="I390" i="7" s="1"/>
  <c r="I389" i="7" s="1"/>
  <c r="I388" i="7" s="1"/>
  <c r="I384" i="7" s="1"/>
  <c r="I383" i="7" s="1"/>
  <c r="I382" i="7" s="1"/>
  <c r="I381" i="7" s="1"/>
  <c r="H372" i="7"/>
  <c r="H380" i="7"/>
  <c r="E634" i="9" s="1"/>
  <c r="H376" i="7"/>
  <c r="H375" i="7" s="1"/>
  <c r="H374" i="7" s="1"/>
  <c r="H373" i="7" s="1"/>
  <c r="H318" i="7"/>
  <c r="H315" i="7" s="1"/>
  <c r="E184" i="9"/>
  <c r="E185" i="9"/>
  <c r="E186" i="9"/>
  <c r="H721" i="7"/>
  <c r="E79" i="9" s="1"/>
  <c r="E78" i="9" s="1"/>
  <c r="E77" i="9" s="1"/>
  <c r="E76" i="9" s="1"/>
  <c r="E75" i="9" s="1"/>
  <c r="H763" i="7"/>
  <c r="H769" i="7"/>
  <c r="H768" i="7" s="1"/>
  <c r="H767" i="7" s="1"/>
  <c r="H790" i="7"/>
  <c r="H789" i="7" s="1"/>
  <c r="H793" i="7"/>
  <c r="H792" i="7" s="1"/>
  <c r="H796" i="7"/>
  <c r="H795" i="7" s="1"/>
  <c r="H823" i="7"/>
  <c r="H822" i="7" s="1"/>
  <c r="H821" i="7" s="1"/>
  <c r="H846" i="7"/>
  <c r="H849" i="7"/>
  <c r="H848" i="7" s="1"/>
  <c r="H847" i="7" s="1"/>
  <c r="H837" i="7"/>
  <c r="H836" i="7" s="1"/>
  <c r="H835" i="7" s="1"/>
  <c r="H834" i="7" s="1"/>
  <c r="H833" i="7" s="1"/>
  <c r="H863" i="7"/>
  <c r="H860" i="7" s="1"/>
  <c r="H866" i="7"/>
  <c r="H865" i="7" s="1"/>
  <c r="H871" i="7"/>
  <c r="H870" i="7" s="1"/>
  <c r="H869" i="7" s="1"/>
  <c r="H874" i="7"/>
  <c r="H873" i="7" s="1"/>
  <c r="H872" i="7" s="1"/>
  <c r="H982" i="7"/>
  <c r="H960" i="7"/>
  <c r="E369" i="9"/>
  <c r="E368" i="9" s="1"/>
  <c r="E367" i="9" s="1"/>
  <c r="H245" i="7"/>
  <c r="H244" i="7" s="1"/>
  <c r="H243" i="7" s="1"/>
  <c r="H242" i="7" s="1"/>
  <c r="H253" i="7"/>
  <c r="E334" i="9" s="1"/>
  <c r="E333" i="9" s="1"/>
  <c r="E332" i="9" s="1"/>
  <c r="E331" i="9" s="1"/>
  <c r="H260" i="7"/>
  <c r="E315" i="9" s="1"/>
  <c r="E314" i="9" s="1"/>
  <c r="E313" i="9" s="1"/>
  <c r="E312" i="9" s="1"/>
  <c r="E311" i="9" s="1"/>
  <c r="H271" i="7"/>
  <c r="H285" i="7"/>
  <c r="H284" i="7" s="1"/>
  <c r="AE219" i="2"/>
  <c r="AE218" i="2" s="1"/>
  <c r="H300" i="7"/>
  <c r="E285" i="9" s="1"/>
  <c r="H304" i="7"/>
  <c r="E293" i="9" s="1"/>
  <c r="H230" i="7"/>
  <c r="I230" i="7" s="1"/>
  <c r="I229" i="7" s="1"/>
  <c r="I228" i="7" s="1"/>
  <c r="H237" i="7"/>
  <c r="H236" i="7" s="1"/>
  <c r="H235" i="7" s="1"/>
  <c r="H234" i="7" s="1"/>
  <c r="H233" i="7" s="1"/>
  <c r="H232" i="7" s="1"/>
  <c r="H231" i="7" s="1"/>
  <c r="E23" i="10" s="1"/>
  <c r="AE19" i="2"/>
  <c r="AE18" i="2" s="1"/>
  <c r="H32" i="7"/>
  <c r="H31" i="7" s="1"/>
  <c r="E753" i="9"/>
  <c r="E752" i="9" s="1"/>
  <c r="E751" i="9" s="1"/>
  <c r="H42" i="7"/>
  <c r="H41" i="7" s="1"/>
  <c r="H45" i="7"/>
  <c r="H44" i="7" s="1"/>
  <c r="H69" i="7"/>
  <c r="E488" i="9" s="1"/>
  <c r="H74" i="7"/>
  <c r="H73" i="7" s="1"/>
  <c r="H72" i="7" s="1"/>
  <c r="H77" i="7"/>
  <c r="H76" i="7" s="1"/>
  <c r="H75" i="7" s="1"/>
  <c r="H87" i="7"/>
  <c r="E555" i="9" s="1"/>
  <c r="H94" i="7"/>
  <c r="H93" i="7" s="1"/>
  <c r="E503" i="9"/>
  <c r="E502" i="9" s="1"/>
  <c r="E501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8" i="7"/>
  <c r="E515" i="9" s="1"/>
  <c r="E514" i="9" s="1"/>
  <c r="E513" i="9" s="1"/>
  <c r="H181" i="7"/>
  <c r="H176" i="7" s="1"/>
  <c r="H186" i="7"/>
  <c r="H185" i="7" s="1"/>
  <c r="H188" i="7"/>
  <c r="H187" i="7" s="1"/>
  <c r="H191" i="7"/>
  <c r="H190" i="7" s="1"/>
  <c r="H193" i="7"/>
  <c r="H192" i="7" s="1"/>
  <c r="H205" i="7"/>
  <c r="I851" i="7"/>
  <c r="I850" i="7" s="1"/>
  <c r="I843" i="7" s="1"/>
  <c r="I842" i="7" s="1"/>
  <c r="I827" i="7" s="1"/>
  <c r="I678" i="7"/>
  <c r="I677" i="7" s="1"/>
  <c r="I810" i="7"/>
  <c r="I809" i="7" s="1"/>
  <c r="J404" i="7"/>
  <c r="J403" i="7" s="1"/>
  <c r="J402" i="7" s="1"/>
  <c r="J401" i="7" s="1"/>
  <c r="J400" i="7" s="1"/>
  <c r="J399" i="7" s="1"/>
  <c r="J398" i="7" s="1"/>
  <c r="J549" i="7"/>
  <c r="J548" i="7" s="1"/>
  <c r="J509" i="7"/>
  <c r="J508" i="7" s="1"/>
  <c r="J507" i="7" s="1"/>
  <c r="J506" i="7" s="1"/>
  <c r="J505" i="7" s="1"/>
  <c r="J504" i="7" s="1"/>
  <c r="J489" i="7"/>
  <c r="J492" i="7"/>
  <c r="J491" i="7" s="1"/>
  <c r="J494" i="7"/>
  <c r="F305" i="9" s="1"/>
  <c r="F304" i="9" s="1"/>
  <c r="J790" i="7"/>
  <c r="J789" i="7" s="1"/>
  <c r="J796" i="7"/>
  <c r="J795" i="7" s="1"/>
  <c r="F177" i="9"/>
  <c r="F184" i="9"/>
  <c r="F185" i="9"/>
  <c r="F186" i="9"/>
  <c r="J721" i="7"/>
  <c r="F79" i="9" s="1"/>
  <c r="F78" i="9" s="1"/>
  <c r="F77" i="9" s="1"/>
  <c r="F76" i="9" s="1"/>
  <c r="F75" i="9" s="1"/>
  <c r="J763" i="7"/>
  <c r="F289" i="9" s="1"/>
  <c r="J769" i="7"/>
  <c r="J768" i="7" s="1"/>
  <c r="J767" i="7" s="1"/>
  <c r="J982" i="7"/>
  <c r="J960" i="7"/>
  <c r="K926" i="7"/>
  <c r="J923" i="7"/>
  <c r="J837" i="7"/>
  <c r="J836" i="7" s="1"/>
  <c r="J835" i="7" s="1"/>
  <c r="J834" i="7" s="1"/>
  <c r="J833" i="7" s="1"/>
  <c r="J846" i="7"/>
  <c r="J845" i="7" s="1"/>
  <c r="J844" i="7" s="1"/>
  <c r="J849" i="7"/>
  <c r="J852" i="7"/>
  <c r="J851" i="7" s="1"/>
  <c r="J850" i="7" s="1"/>
  <c r="J863" i="7"/>
  <c r="J860" i="7" s="1"/>
  <c r="J866" i="7"/>
  <c r="J865" i="7" s="1"/>
  <c r="J871" i="7"/>
  <c r="J870" i="7" s="1"/>
  <c r="J869" i="7" s="1"/>
  <c r="J874" i="7"/>
  <c r="J873" i="7" s="1"/>
  <c r="J872" i="7" s="1"/>
  <c r="J327" i="7"/>
  <c r="J326" i="7" s="1"/>
  <c r="J325" i="7" s="1"/>
  <c r="J324" i="7" s="1"/>
  <c r="J323" i="7" s="1"/>
  <c r="J322" i="7" s="1"/>
  <c r="J321" i="7" s="1"/>
  <c r="J334" i="7"/>
  <c r="J333" i="7" s="1"/>
  <c r="J387" i="7"/>
  <c r="J390" i="7"/>
  <c r="K390" i="7" s="1"/>
  <c r="K389" i="7" s="1"/>
  <c r="K388" i="7" s="1"/>
  <c r="K384" i="7" s="1"/>
  <c r="K383" i="7" s="1"/>
  <c r="K382" i="7" s="1"/>
  <c r="K381" i="7" s="1"/>
  <c r="J347" i="7"/>
  <c r="J346" i="7" s="1"/>
  <c r="J337" i="7" s="1"/>
  <c r="J359" i="7"/>
  <c r="J372" i="7"/>
  <c r="J380" i="7"/>
  <c r="J376" i="7"/>
  <c r="J318" i="7"/>
  <c r="J315" i="7" s="1"/>
  <c r="J245" i="7"/>
  <c r="J244" i="7" s="1"/>
  <c r="J243" i="7" s="1"/>
  <c r="J242" i="7" s="1"/>
  <c r="J253" i="7"/>
  <c r="F334" i="9" s="1"/>
  <c r="F333" i="9" s="1"/>
  <c r="F332" i="9" s="1"/>
  <c r="F331" i="9" s="1"/>
  <c r="J260" i="7"/>
  <c r="J271" i="7"/>
  <c r="J270" i="7" s="1"/>
  <c r="J269" i="7" s="1"/>
  <c r="J285" i="7"/>
  <c r="J300" i="7"/>
  <c r="F285" i="9" s="1"/>
  <c r="J304" i="7"/>
  <c r="F293" i="9" s="1"/>
  <c r="J230" i="7"/>
  <c r="F586" i="9" s="1"/>
  <c r="F585" i="9" s="1"/>
  <c r="F584" i="9" s="1"/>
  <c r="J237" i="7"/>
  <c r="J236" i="7" s="1"/>
  <c r="J235" i="7" s="1"/>
  <c r="J234" i="7" s="1"/>
  <c r="J233" i="7" s="1"/>
  <c r="J232" i="7" s="1"/>
  <c r="J231" i="7" s="1"/>
  <c r="F23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88" i="9" s="1"/>
  <c r="J74" i="7"/>
  <c r="J77" i="7"/>
  <c r="J76" i="7" s="1"/>
  <c r="J75" i="7" s="1"/>
  <c r="J87" i="7"/>
  <c r="J94" i="7"/>
  <c r="J93" i="7" s="1"/>
  <c r="F503" i="9"/>
  <c r="F502" i="9" s="1"/>
  <c r="F501" i="9" s="1"/>
  <c r="J100" i="7"/>
  <c r="J99" i="7" s="1"/>
  <c r="J109" i="7"/>
  <c r="J108" i="7" s="1"/>
  <c r="J115" i="7"/>
  <c r="J114" i="7" s="1"/>
  <c r="J129" i="7"/>
  <c r="J140" i="7"/>
  <c r="F450" i="9" s="1"/>
  <c r="F449" i="9" s="1"/>
  <c r="J138" i="7"/>
  <c r="F461" i="9"/>
  <c r="F460" i="9" s="1"/>
  <c r="J152" i="7"/>
  <c r="J151" i="7" s="1"/>
  <c r="J155" i="7"/>
  <c r="J154" i="7" s="1"/>
  <c r="J168" i="7"/>
  <c r="J167" i="7" s="1"/>
  <c r="J166" i="7" s="1"/>
  <c r="J187" i="7"/>
  <c r="J191" i="7"/>
  <c r="J190" i="7" s="1"/>
  <c r="J193" i="7"/>
  <c r="J192" i="7" s="1"/>
  <c r="AF127" i="2"/>
  <c r="AF126" i="2" s="1"/>
  <c r="AF125" i="2" s="1"/>
  <c r="K810" i="7"/>
  <c r="K809" i="7" s="1"/>
  <c r="J205" i="7"/>
  <c r="K205" i="7" s="1"/>
  <c r="K204" i="7" s="1"/>
  <c r="K203" i="7" s="1"/>
  <c r="K202" i="7" s="1"/>
  <c r="G851" i="7"/>
  <c r="G850" i="7" s="1"/>
  <c r="G843" i="7" s="1"/>
  <c r="G842" i="7" s="1"/>
  <c r="G827" i="7" s="1"/>
  <c r="AE432" i="2"/>
  <c r="AE431" i="2" s="1"/>
  <c r="AE435" i="2"/>
  <c r="AE434" i="2" s="1"/>
  <c r="AF432" i="2"/>
  <c r="AF431" i="2" s="1"/>
  <c r="AF435" i="2"/>
  <c r="AF434" i="2" s="1"/>
  <c r="AD432" i="2"/>
  <c r="AD431" i="2" s="1"/>
  <c r="AD435" i="2"/>
  <c r="AD434" i="2" s="1"/>
  <c r="G936" i="7"/>
  <c r="G935" i="7" s="1"/>
  <c r="G931" i="7" s="1"/>
  <c r="I936" i="7"/>
  <c r="I935" i="7" s="1"/>
  <c r="I931" i="7" s="1"/>
  <c r="K936" i="7"/>
  <c r="K935" i="7" s="1"/>
  <c r="K931" i="7" s="1"/>
  <c r="AF262" i="2"/>
  <c r="AF261" i="2" s="1"/>
  <c r="AF260" i="2" s="1"/>
  <c r="AF115" i="2"/>
  <c r="AF112" i="2" s="1"/>
  <c r="AF106" i="2" s="1"/>
  <c r="AE115" i="2"/>
  <c r="AE113" i="2"/>
  <c r="AD113" i="2"/>
  <c r="AD112" i="2" s="1"/>
  <c r="AD106" i="2" s="1"/>
  <c r="F746" i="7"/>
  <c r="E175" i="9"/>
  <c r="E174" i="9" s="1"/>
  <c r="AE366" i="2"/>
  <c r="AE365" i="2" s="1"/>
  <c r="AE364" i="2" s="1"/>
  <c r="AF366" i="2"/>
  <c r="AF365" i="2" s="1"/>
  <c r="AF364" i="2" s="1"/>
  <c r="AD366" i="2"/>
  <c r="AD365" i="2" s="1"/>
  <c r="AD364" i="2" s="1"/>
  <c r="AD363" i="2" s="1"/>
  <c r="AF266" i="2"/>
  <c r="AF265" i="2" s="1"/>
  <c r="AF264" i="2" s="1"/>
  <c r="AD258" i="2"/>
  <c r="AD257" i="2" s="1"/>
  <c r="AD256" i="2" s="1"/>
  <c r="AF258" i="2"/>
  <c r="AF257" i="2" s="1"/>
  <c r="AF256" i="2" s="1"/>
  <c r="J188" i="7"/>
  <c r="F535" i="9" s="1"/>
  <c r="F534" i="9" s="1"/>
  <c r="J186" i="7"/>
  <c r="F533" i="9" s="1"/>
  <c r="F532" i="9" s="1"/>
  <c r="I817" i="7"/>
  <c r="I816" i="7" s="1"/>
  <c r="H334" i="7"/>
  <c r="H22" i="7"/>
  <c r="H21" i="7" s="1"/>
  <c r="F874" i="7"/>
  <c r="F873" i="7" s="1"/>
  <c r="F872" i="7" s="1"/>
  <c r="F871" i="7"/>
  <c r="F870" i="7" s="1"/>
  <c r="F869" i="7" s="1"/>
  <c r="F334" i="7"/>
  <c r="F66" i="9"/>
  <c r="F65" i="9" s="1"/>
  <c r="F64" i="9" s="1"/>
  <c r="F63" i="9"/>
  <c r="F62" i="9" s="1"/>
  <c r="F61" i="9" s="1"/>
  <c r="AF539" i="2"/>
  <c r="AF538" i="2" s="1"/>
  <c r="AF537" i="2" s="1"/>
  <c r="AF536" i="2" s="1"/>
  <c r="AF513" i="2"/>
  <c r="AF512" i="2" s="1"/>
  <c r="AF491" i="2"/>
  <c r="AF490" i="2" s="1"/>
  <c r="AF489" i="2" s="1"/>
  <c r="AF460" i="2"/>
  <c r="AF459" i="2" s="1"/>
  <c r="AF457" i="2"/>
  <c r="AF456" i="2" s="1"/>
  <c r="AF423" i="2"/>
  <c r="AF422" i="2" s="1"/>
  <c r="AF421" i="2" s="1"/>
  <c r="AF420" i="2" s="1"/>
  <c r="AF390" i="2"/>
  <c r="AF389" i="2" s="1"/>
  <c r="AF384" i="2"/>
  <c r="AF383" i="2" s="1"/>
  <c r="AF382" i="2" s="1"/>
  <c r="AF381" i="2" s="1"/>
  <c r="AF350" i="2"/>
  <c r="AF349" i="2" s="1"/>
  <c r="AF345" i="2" s="1"/>
  <c r="AF330" i="2"/>
  <c r="AF329" i="2" s="1"/>
  <c r="AF328" i="2" s="1"/>
  <c r="AF327" i="2" s="1"/>
  <c r="AF326" i="2" s="1"/>
  <c r="AF315" i="2"/>
  <c r="AF313" i="2"/>
  <c r="AF310" i="2"/>
  <c r="AF309" i="2" s="1"/>
  <c r="AF290" i="2"/>
  <c r="AF289" i="2" s="1"/>
  <c r="AF288" i="2" s="1"/>
  <c r="AF287" i="2" s="1"/>
  <c r="AF286" i="2" s="1"/>
  <c r="AF276" i="2"/>
  <c r="AF275" i="2" s="1"/>
  <c r="AF273" i="2"/>
  <c r="AF272" i="2" s="1"/>
  <c r="AF251" i="2"/>
  <c r="AF250" i="2" s="1"/>
  <c r="AF249" i="2" s="1"/>
  <c r="AF248" i="2" s="1"/>
  <c r="AF247" i="2" s="1"/>
  <c r="AF244" i="2"/>
  <c r="AF237" i="2"/>
  <c r="AF236" i="2" s="1"/>
  <c r="AF235" i="2" s="1"/>
  <c r="AF234" i="2" s="1"/>
  <c r="AF233" i="2" s="1"/>
  <c r="AF232" i="2" s="1"/>
  <c r="AF223" i="2"/>
  <c r="AF222" i="2" s="1"/>
  <c r="AF221" i="2" s="1"/>
  <c r="AF219" i="2"/>
  <c r="AF218" i="2" s="1"/>
  <c r="AF204" i="2"/>
  <c r="AF172" i="2"/>
  <c r="AF171" i="2" s="1"/>
  <c r="AF170" i="2" s="1"/>
  <c r="AF164" i="2"/>
  <c r="AF163" i="2" s="1"/>
  <c r="AF162" i="2" s="1"/>
  <c r="AF179" i="2"/>
  <c r="AF178" i="2" s="1"/>
  <c r="AF177" i="2" s="1"/>
  <c r="AF176" i="2" s="1"/>
  <c r="AF156" i="2"/>
  <c r="AF155" i="2" s="1"/>
  <c r="AF154" i="2" s="1"/>
  <c r="AF153" i="2" s="1"/>
  <c r="AF152" i="2" s="1"/>
  <c r="AF151" i="2" s="1"/>
  <c r="AF149" i="2"/>
  <c r="AF148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71" i="7"/>
  <c r="E873" i="7"/>
  <c r="E874" i="7"/>
  <c r="E870" i="7"/>
  <c r="B870" i="7"/>
  <c r="C870" i="7"/>
  <c r="B871" i="7"/>
  <c r="C871" i="7"/>
  <c r="B872" i="7"/>
  <c r="C872" i="7"/>
  <c r="B873" i="7"/>
  <c r="C873" i="7"/>
  <c r="B874" i="7"/>
  <c r="C874" i="7"/>
  <c r="C869" i="7"/>
  <c r="B869" i="7"/>
  <c r="A62" i="9"/>
  <c r="A63" i="9"/>
  <c r="A64" i="9"/>
  <c r="A65" i="9"/>
  <c r="A66" i="9"/>
  <c r="A61" i="9"/>
  <c r="AD457" i="2"/>
  <c r="AD456" i="2" s="1"/>
  <c r="AE457" i="2"/>
  <c r="AE456" i="2" s="1"/>
  <c r="AD460" i="2"/>
  <c r="AD459" i="2" s="1"/>
  <c r="AE460" i="2"/>
  <c r="AE459" i="2" s="1"/>
  <c r="AE276" i="2"/>
  <c r="AE275" i="2" s="1"/>
  <c r="AD276" i="2"/>
  <c r="AD275" i="2" s="1"/>
  <c r="AE81" i="2"/>
  <c r="AE76" i="2" s="1"/>
  <c r="AD81" i="2"/>
  <c r="AD76" i="2" s="1"/>
  <c r="G817" i="7"/>
  <c r="G816" i="7" s="1"/>
  <c r="AE539" i="2"/>
  <c r="AE538" i="2" s="1"/>
  <c r="AE513" i="2"/>
  <c r="AE512" i="2" s="1"/>
  <c r="AE508" i="2" s="1"/>
  <c r="AE423" i="2"/>
  <c r="AE422" i="2" s="1"/>
  <c r="AE421" i="2" s="1"/>
  <c r="AE420" i="2" s="1"/>
  <c r="AE390" i="2"/>
  <c r="AE389" i="2" s="1"/>
  <c r="AE384" i="2"/>
  <c r="AE383" i="2" s="1"/>
  <c r="AE382" i="2" s="1"/>
  <c r="AE381" i="2" s="1"/>
  <c r="AE350" i="2"/>
  <c r="AE349" i="2" s="1"/>
  <c r="AE345" i="2" s="1"/>
  <c r="AE326" i="2"/>
  <c r="AE315" i="2"/>
  <c r="AE313" i="2"/>
  <c r="AE290" i="2"/>
  <c r="AE289" i="2" s="1"/>
  <c r="AE288" i="2" s="1"/>
  <c r="AE287" i="2" s="1"/>
  <c r="AE286" i="2" s="1"/>
  <c r="AE273" i="2"/>
  <c r="AE272" i="2" s="1"/>
  <c r="AE244" i="2"/>
  <c r="AE243" i="2" s="1"/>
  <c r="AE242" i="2" s="1"/>
  <c r="AE237" i="2"/>
  <c r="AE236" i="2" s="1"/>
  <c r="AE235" i="2" s="1"/>
  <c r="AE234" i="2" s="1"/>
  <c r="AE233" i="2" s="1"/>
  <c r="AE232" i="2" s="1"/>
  <c r="AE223" i="2"/>
  <c r="AE222" i="2" s="1"/>
  <c r="AE221" i="2" s="1"/>
  <c r="AE204" i="2"/>
  <c r="AE172" i="2"/>
  <c r="AE171" i="2" s="1"/>
  <c r="AE170" i="2" s="1"/>
  <c r="AE164" i="2"/>
  <c r="AE163" i="2" s="1"/>
  <c r="AE162" i="2" s="1"/>
  <c r="AE156" i="2"/>
  <c r="AE155" i="2" s="1"/>
  <c r="AE154" i="2" s="1"/>
  <c r="AE153" i="2" s="1"/>
  <c r="AE152" i="2" s="1"/>
  <c r="AE151" i="2" s="1"/>
  <c r="AE149" i="2"/>
  <c r="AE148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539" i="2"/>
  <c r="AD538" i="2" s="1"/>
  <c r="AD537" i="2" s="1"/>
  <c r="AD536" i="2" s="1"/>
  <c r="AD513" i="2"/>
  <c r="AD512" i="2" s="1"/>
  <c r="AD508" i="2" s="1"/>
  <c r="AD491" i="2"/>
  <c r="AD490" i="2" s="1"/>
  <c r="AD489" i="2" s="1"/>
  <c r="AD423" i="2"/>
  <c r="AD422" i="2" s="1"/>
  <c r="AD421" i="2" s="1"/>
  <c r="AD420" i="2" s="1"/>
  <c r="AD390" i="2"/>
  <c r="AD389" i="2" s="1"/>
  <c r="AD384" i="2"/>
  <c r="AD383" i="2" s="1"/>
  <c r="AD382" i="2" s="1"/>
  <c r="AD381" i="2" s="1"/>
  <c r="AD350" i="2"/>
  <c r="AD349" i="2" s="1"/>
  <c r="AD345" i="2" s="1"/>
  <c r="AD330" i="2"/>
  <c r="AD329" i="2" s="1"/>
  <c r="AD328" i="2" s="1"/>
  <c r="AD327" i="2" s="1"/>
  <c r="AD326" i="2" s="1"/>
  <c r="AD315" i="2"/>
  <c r="AD313" i="2"/>
  <c r="AD310" i="2"/>
  <c r="AD309" i="2" s="1"/>
  <c r="AD290" i="2"/>
  <c r="AD289" i="2" s="1"/>
  <c r="AD288" i="2" s="1"/>
  <c r="AD287" i="2" s="1"/>
  <c r="AD286" i="2" s="1"/>
  <c r="AD273" i="2"/>
  <c r="AD272" i="2" s="1"/>
  <c r="AD244" i="2"/>
  <c r="AD243" i="2" s="1"/>
  <c r="AD242" i="2" s="1"/>
  <c r="AD237" i="2"/>
  <c r="AD236" i="2" s="1"/>
  <c r="AD235" i="2" s="1"/>
  <c r="AD234" i="2" s="1"/>
  <c r="AD233" i="2" s="1"/>
  <c r="AD232" i="2" s="1"/>
  <c r="AD223" i="2"/>
  <c r="AD222" i="2" s="1"/>
  <c r="AD221" i="2" s="1"/>
  <c r="AD219" i="2"/>
  <c r="AD218" i="2" s="1"/>
  <c r="AD204" i="2"/>
  <c r="AD172" i="2"/>
  <c r="AD171" i="2" s="1"/>
  <c r="AD170" i="2" s="1"/>
  <c r="AD164" i="2"/>
  <c r="AD163" i="2" s="1"/>
  <c r="AD162" i="2" s="1"/>
  <c r="AD179" i="2"/>
  <c r="AD178" i="2" s="1"/>
  <c r="AD177" i="2" s="1"/>
  <c r="AD176" i="2" s="1"/>
  <c r="AD156" i="2"/>
  <c r="AD155" i="2" s="1"/>
  <c r="AD154" i="2" s="1"/>
  <c r="AD153" i="2" s="1"/>
  <c r="AD152" i="2" s="1"/>
  <c r="AD151" i="2" s="1"/>
  <c r="AD149" i="2"/>
  <c r="AD148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51" i="2"/>
  <c r="AD250" i="2" s="1"/>
  <c r="AD249" i="2" s="1"/>
  <c r="AD248" i="2" s="1"/>
  <c r="AD247" i="2" s="1"/>
  <c r="AE60" i="2"/>
  <c r="AE59" i="2" s="1"/>
  <c r="AE58" i="2" s="1"/>
  <c r="AE57" i="2" s="1"/>
  <c r="AE56" i="2" s="1"/>
  <c r="AE179" i="2"/>
  <c r="AE178" i="2" s="1"/>
  <c r="AE177" i="2" s="1"/>
  <c r="AE176" i="2" s="1"/>
  <c r="AE251" i="2"/>
  <c r="AE250" i="2" s="1"/>
  <c r="AE249" i="2" s="1"/>
  <c r="AE248" i="2" s="1"/>
  <c r="AE247" i="2" s="1"/>
  <c r="AE491" i="2"/>
  <c r="AE490" i="2" s="1"/>
  <c r="AE489" i="2" s="1"/>
  <c r="AE310" i="2"/>
  <c r="AE309" i="2" s="1"/>
  <c r="D158" i="7"/>
  <c r="D157" i="7" s="1"/>
  <c r="D155" i="7"/>
  <c r="D154" i="7" s="1"/>
  <c r="B505" i="9"/>
  <c r="B504" i="9" s="1"/>
  <c r="B502" i="9"/>
  <c r="B501" i="9" s="1"/>
  <c r="B471" i="9"/>
  <c r="B470" i="9" s="1"/>
  <c r="B468" i="9"/>
  <c r="B467" i="9" s="1"/>
  <c r="D100" i="7"/>
  <c r="D99" i="7" s="1"/>
  <c r="D97" i="7"/>
  <c r="D96" i="7" s="1"/>
  <c r="D620" i="9" l="1"/>
  <c r="D619" i="9" s="1"/>
  <c r="D618" i="9" s="1"/>
  <c r="D617" i="9" s="1"/>
  <c r="D616" i="9" s="1"/>
  <c r="M340" i="7"/>
  <c r="J358" i="7"/>
  <c r="J357" i="7" s="1"/>
  <c r="J356" i="7" s="1"/>
  <c r="J355" i="7" s="1"/>
  <c r="O340" i="7"/>
  <c r="H358" i="7"/>
  <c r="H357" i="7" s="1"/>
  <c r="H356" i="7" s="1"/>
  <c r="H355" i="7" s="1"/>
  <c r="N340" i="7"/>
  <c r="F735" i="7"/>
  <c r="F734" i="7" s="1"/>
  <c r="AD312" i="2"/>
  <c r="AD308" i="2" s="1"/>
  <c r="AD307" i="2" s="1"/>
  <c r="AD306" i="2" s="1"/>
  <c r="AF312" i="2"/>
  <c r="D301" i="9"/>
  <c r="AE312" i="2"/>
  <c r="G528" i="7"/>
  <c r="G518" i="7" s="1"/>
  <c r="AF243" i="2"/>
  <c r="AF242" i="2" s="1"/>
  <c r="AF241" i="2" s="1"/>
  <c r="AF240" i="2" s="1"/>
  <c r="AF239" i="2" s="1"/>
  <c r="AF231" i="2" s="1"/>
  <c r="D536" i="9"/>
  <c r="J189" i="7"/>
  <c r="H189" i="7"/>
  <c r="AF94" i="2"/>
  <c r="AF90" i="2" s="1"/>
  <c r="AE94" i="2"/>
  <c r="AD94" i="2"/>
  <c r="AD90" i="2" s="1"/>
  <c r="J859" i="7"/>
  <c r="J858" i="7" s="1"/>
  <c r="H859" i="7"/>
  <c r="H858" i="7" s="1"/>
  <c r="H766" i="7"/>
  <c r="H765" i="7" s="1"/>
  <c r="H764" i="7" s="1"/>
  <c r="J766" i="7"/>
  <c r="J765" i="7" s="1"/>
  <c r="J764" i="7" s="1"/>
  <c r="AD362" i="2"/>
  <c r="AD361" i="2" s="1"/>
  <c r="AF363" i="2"/>
  <c r="AF362" i="2" s="1"/>
  <c r="AF361" i="2" s="1"/>
  <c r="AE363" i="2"/>
  <c r="AE362" i="2" s="1"/>
  <c r="AE361" i="2" s="1"/>
  <c r="D250" i="9"/>
  <c r="D249" i="9" s="1"/>
  <c r="D248" i="9" s="1"/>
  <c r="E173" i="9"/>
  <c r="D173" i="9"/>
  <c r="H851" i="7"/>
  <c r="H850" i="7" s="1"/>
  <c r="J336" i="7"/>
  <c r="E366" i="9"/>
  <c r="E365" i="9" s="1"/>
  <c r="D322" i="9"/>
  <c r="G826" i="7"/>
  <c r="G825" i="7" s="1"/>
  <c r="F242" i="9"/>
  <c r="F241" i="9" s="1"/>
  <c r="F240" i="9" s="1"/>
  <c r="F236" i="9" s="1"/>
  <c r="F235" i="9" s="1"/>
  <c r="E242" i="9"/>
  <c r="E241" i="9" s="1"/>
  <c r="E240" i="9" s="1"/>
  <c r="E236" i="9" s="1"/>
  <c r="E235" i="9" s="1"/>
  <c r="H283" i="7"/>
  <c r="H282" i="7" s="1"/>
  <c r="H281" i="7" s="1"/>
  <c r="AE203" i="2"/>
  <c r="AE202" i="2" s="1"/>
  <c r="AE201" i="2" s="1"/>
  <c r="AF203" i="2"/>
  <c r="AF202" i="2" s="1"/>
  <c r="AF201" i="2" s="1"/>
  <c r="AD203" i="2"/>
  <c r="AD202" i="2" s="1"/>
  <c r="AD201" i="2" s="1"/>
  <c r="F531" i="9"/>
  <c r="H490" i="7"/>
  <c r="AE112" i="2"/>
  <c r="AE106" i="2" s="1"/>
  <c r="H184" i="7"/>
  <c r="D531" i="9"/>
  <c r="E253" i="9"/>
  <c r="E252" i="9" s="1"/>
  <c r="E251" i="9" s="1"/>
  <c r="J959" i="7"/>
  <c r="J958" i="7" s="1"/>
  <c r="F253" i="9"/>
  <c r="F252" i="9" s="1"/>
  <c r="F251" i="9" s="1"/>
  <c r="F477" i="9"/>
  <c r="F476" i="9" s="1"/>
  <c r="F475" i="9" s="1"/>
  <c r="F474" i="9" s="1"/>
  <c r="F473" i="9" s="1"/>
  <c r="J981" i="7"/>
  <c r="E477" i="9"/>
  <c r="E476" i="9" s="1"/>
  <c r="E475" i="9" s="1"/>
  <c r="E474" i="9" s="1"/>
  <c r="E473" i="9" s="1"/>
  <c r="H981" i="7"/>
  <c r="AF510" i="2"/>
  <c r="AF509" i="2" s="1"/>
  <c r="AF508" i="2" s="1"/>
  <c r="AF507" i="2" s="1"/>
  <c r="AF506" i="2" s="1"/>
  <c r="AF505" i="2" s="1"/>
  <c r="J314" i="7"/>
  <c r="J313" i="7" s="1"/>
  <c r="J312" i="7" s="1"/>
  <c r="J311" i="7" s="1"/>
  <c r="F29" i="10" s="1"/>
  <c r="H314" i="7"/>
  <c r="H313" i="7" s="1"/>
  <c r="H312" i="7" s="1"/>
  <c r="H311" i="7" s="1"/>
  <c r="E29" i="10" s="1"/>
  <c r="AD406" i="2"/>
  <c r="AE67" i="2"/>
  <c r="AF67" i="2"/>
  <c r="D783" i="9"/>
  <c r="D782" i="9" s="1"/>
  <c r="D781" i="9" s="1"/>
  <c r="D777" i="9" s="1"/>
  <c r="AD147" i="2"/>
  <c r="AD146" i="2" s="1"/>
  <c r="AD145" i="2" s="1"/>
  <c r="AD144" i="2" s="1"/>
  <c r="AD143" i="2" s="1"/>
  <c r="I227" i="7"/>
  <c r="I226" i="7" s="1"/>
  <c r="I225" i="7" s="1"/>
  <c r="I224" i="7" s="1"/>
  <c r="I223" i="7" s="1"/>
  <c r="F583" i="9"/>
  <c r="AF147" i="2"/>
  <c r="AF146" i="2" s="1"/>
  <c r="AF145" i="2" s="1"/>
  <c r="AF144" i="2" s="1"/>
  <c r="AF143" i="2" s="1"/>
  <c r="AE147" i="2"/>
  <c r="AE146" i="2" s="1"/>
  <c r="AE145" i="2" s="1"/>
  <c r="AE144" i="2" s="1"/>
  <c r="AE143" i="2" s="1"/>
  <c r="AE161" i="2"/>
  <c r="AE160" i="2" s="1"/>
  <c r="AE159" i="2" s="1"/>
  <c r="H762" i="7"/>
  <c r="H761" i="7" s="1"/>
  <c r="H760" i="7" s="1"/>
  <c r="H759" i="7" s="1"/>
  <c r="H758" i="7" s="1"/>
  <c r="E289" i="9"/>
  <c r="E288" i="9" s="1"/>
  <c r="E287" i="9" s="1"/>
  <c r="E286" i="9" s="1"/>
  <c r="F762" i="7"/>
  <c r="F761" i="7" s="1"/>
  <c r="F760" i="7" s="1"/>
  <c r="F759" i="7" s="1"/>
  <c r="F758" i="7" s="1"/>
  <c r="D288" i="9"/>
  <c r="D287" i="9" s="1"/>
  <c r="D286" i="9" s="1"/>
  <c r="D285" i="9"/>
  <c r="D284" i="9" s="1"/>
  <c r="D283" i="9" s="1"/>
  <c r="D282" i="9" s="1"/>
  <c r="AF161" i="2"/>
  <c r="AF160" i="2" s="1"/>
  <c r="AF159" i="2" s="1"/>
  <c r="AD161" i="2"/>
  <c r="AD160" i="2" s="1"/>
  <c r="AD159" i="2" s="1"/>
  <c r="AD455" i="2"/>
  <c r="AD445" i="2" s="1"/>
  <c r="AD444" i="2" s="1"/>
  <c r="AF455" i="2"/>
  <c r="AE455" i="2"/>
  <c r="D189" i="9"/>
  <c r="D188" i="9" s="1"/>
  <c r="D187" i="9" s="1"/>
  <c r="D183" i="9"/>
  <c r="F229" i="7"/>
  <c r="F228" i="7" s="1"/>
  <c r="D586" i="9"/>
  <c r="D585" i="9" s="1"/>
  <c r="D584" i="9" s="1"/>
  <c r="E54" i="10"/>
  <c r="F86" i="7"/>
  <c r="F85" i="7" s="1"/>
  <c r="F84" i="7" s="1"/>
  <c r="F83" i="7" s="1"/>
  <c r="F82" i="7" s="1"/>
  <c r="D554" i="9"/>
  <c r="D553" i="9" s="1"/>
  <c r="D552" i="9" s="1"/>
  <c r="H86" i="7"/>
  <c r="H85" i="7" s="1"/>
  <c r="H84" i="7" s="1"/>
  <c r="H83" i="7" s="1"/>
  <c r="H82" i="7" s="1"/>
  <c r="AE308" i="2"/>
  <c r="AE307" i="2" s="1"/>
  <c r="AE306" i="2" s="1"/>
  <c r="AF308" i="2"/>
  <c r="AF307" i="2" s="1"/>
  <c r="AF306" i="2" s="1"/>
  <c r="AE188" i="2"/>
  <c r="AE187" i="2" s="1"/>
  <c r="AF188" i="2"/>
  <c r="AF187" i="2" s="1"/>
  <c r="J268" i="7"/>
  <c r="J267" i="7" s="1"/>
  <c r="AD188" i="2"/>
  <c r="AD187" i="2" s="1"/>
  <c r="J303" i="7"/>
  <c r="J302" i="7" s="1"/>
  <c r="J301" i="7" s="1"/>
  <c r="F292" i="9"/>
  <c r="F291" i="9" s="1"/>
  <c r="D292" i="9"/>
  <c r="D291" i="9" s="1"/>
  <c r="D487" i="9"/>
  <c r="D484" i="9" s="1"/>
  <c r="E448" i="9"/>
  <c r="E447" i="9" s="1"/>
  <c r="H137" i="7"/>
  <c r="F448" i="9"/>
  <c r="F447" i="9" s="1"/>
  <c r="J137" i="7"/>
  <c r="D448" i="9"/>
  <c r="F137" i="7"/>
  <c r="G930" i="7"/>
  <c r="K930" i="7"/>
  <c r="I930" i="7"/>
  <c r="D114" i="9"/>
  <c r="D113" i="9" s="1"/>
  <c r="H633" i="7"/>
  <c r="H632" i="7" s="1"/>
  <c r="K663" i="7"/>
  <c r="K662" i="7" s="1"/>
  <c r="K661" i="7" s="1"/>
  <c r="K648" i="7" s="1"/>
  <c r="F114" i="9"/>
  <c r="F113" i="9" s="1"/>
  <c r="J633" i="7"/>
  <c r="J632" i="7" s="1"/>
  <c r="I663" i="7"/>
  <c r="I662" i="7" s="1"/>
  <c r="I661" i="7" s="1"/>
  <c r="I648" i="7" s="1"/>
  <c r="E114" i="9"/>
  <c r="E113" i="9" s="1"/>
  <c r="G634" i="7"/>
  <c r="G633" i="7" s="1"/>
  <c r="G632" i="7" s="1"/>
  <c r="G624" i="7" s="1"/>
  <c r="G623" i="7" s="1"/>
  <c r="D335" i="9"/>
  <c r="AE344" i="2"/>
  <c r="AE338" i="2" s="1"/>
  <c r="AF344" i="2"/>
  <c r="AF338" i="2" s="1"/>
  <c r="J202" i="7"/>
  <c r="J201" i="7" s="1"/>
  <c r="J200" i="7" s="1"/>
  <c r="AF124" i="2"/>
  <c r="AF123" i="2" s="1"/>
  <c r="J762" i="7"/>
  <c r="J761" i="7" s="1"/>
  <c r="J760" i="7" s="1"/>
  <c r="J759" i="7" s="1"/>
  <c r="F288" i="9"/>
  <c r="F287" i="9" s="1"/>
  <c r="F286" i="9" s="1"/>
  <c r="K201" i="7"/>
  <c r="K200" i="7" s="1"/>
  <c r="AE438" i="2"/>
  <c r="AE437" i="2" s="1"/>
  <c r="AE430" i="2" s="1"/>
  <c r="AE429" i="2" s="1"/>
  <c r="J185" i="7"/>
  <c r="J184" i="7" s="1"/>
  <c r="AE388" i="2"/>
  <c r="AE387" i="2" s="1"/>
  <c r="AE386" i="2" s="1"/>
  <c r="AF25" i="2"/>
  <c r="AF24" i="2" s="1"/>
  <c r="AF23" i="2" s="1"/>
  <c r="AF22" i="2" s="1"/>
  <c r="E227" i="9"/>
  <c r="E226" i="9" s="1"/>
  <c r="E225" i="9" s="1"/>
  <c r="K808" i="7"/>
  <c r="K802" i="7" s="1"/>
  <c r="F592" i="7"/>
  <c r="F591" i="7" s="1"/>
  <c r="AF388" i="2"/>
  <c r="AF387" i="2" s="1"/>
  <c r="AF386" i="2" s="1"/>
  <c r="AE380" i="2"/>
  <c r="AD246" i="2"/>
  <c r="AF246" i="2"/>
  <c r="AE246" i="2"/>
  <c r="E620" i="9"/>
  <c r="E619" i="9" s="1"/>
  <c r="E618" i="9" s="1"/>
  <c r="E617" i="9" s="1"/>
  <c r="E616" i="9" s="1"/>
  <c r="E731" i="9"/>
  <c r="E730" i="9" s="1"/>
  <c r="E729" i="9" s="1"/>
  <c r="F326" i="7"/>
  <c r="F325" i="7" s="1"/>
  <c r="F324" i="7" s="1"/>
  <c r="F323" i="7" s="1"/>
  <c r="F322" i="7" s="1"/>
  <c r="F321" i="7" s="1"/>
  <c r="G808" i="7"/>
  <c r="G802" i="7" s="1"/>
  <c r="E56" i="9"/>
  <c r="E55" i="9" s="1"/>
  <c r="E52" i="9" s="1"/>
  <c r="E297" i="9"/>
  <c r="E296" i="9" s="1"/>
  <c r="E295" i="9" s="1"/>
  <c r="K676" i="7"/>
  <c r="K675" i="7" s="1"/>
  <c r="K674" i="7" s="1"/>
  <c r="K673" i="7" s="1"/>
  <c r="AF75" i="2"/>
  <c r="AF74" i="2" s="1"/>
  <c r="AD519" i="2"/>
  <c r="AD518" i="2" s="1"/>
  <c r="AD517" i="2" s="1"/>
  <c r="AD516" i="2" s="1"/>
  <c r="AE519" i="2"/>
  <c r="AE518" i="2" s="1"/>
  <c r="AE517" i="2" s="1"/>
  <c r="AE516" i="2" s="1"/>
  <c r="H903" i="7"/>
  <c r="H902" i="7" s="1"/>
  <c r="I808" i="7"/>
  <c r="I802" i="7" s="1"/>
  <c r="AD344" i="2"/>
  <c r="AD338" i="2" s="1"/>
  <c r="D176" i="9"/>
  <c r="E638" i="9"/>
  <c r="E637" i="9" s="1"/>
  <c r="E636" i="9" s="1"/>
  <c r="E635" i="9" s="1"/>
  <c r="F538" i="7"/>
  <c r="F537" i="7" s="1"/>
  <c r="F533" i="7" s="1"/>
  <c r="F259" i="7"/>
  <c r="F347" i="7"/>
  <c r="F346" i="7" s="1"/>
  <c r="F337" i="7" s="1"/>
  <c r="E493" i="9"/>
  <c r="E492" i="9" s="1"/>
  <c r="E491" i="9" s="1"/>
  <c r="F491" i="7"/>
  <c r="E466" i="9"/>
  <c r="E465" i="9" s="1"/>
  <c r="E464" i="9" s="1"/>
  <c r="F573" i="9"/>
  <c r="F252" i="7"/>
  <c r="F251" i="7" s="1"/>
  <c r="F250" i="7" s="1"/>
  <c r="E41" i="9"/>
  <c r="E40" i="9" s="1"/>
  <c r="E39" i="9" s="1"/>
  <c r="AD388" i="2"/>
  <c r="AD387" i="2" s="1"/>
  <c r="AD386" i="2" s="1"/>
  <c r="F488" i="7"/>
  <c r="F487" i="7" s="1"/>
  <c r="F236" i="7"/>
  <c r="F235" i="7" s="1"/>
  <c r="F234" i="7" s="1"/>
  <c r="F233" i="7" s="1"/>
  <c r="F232" i="7" s="1"/>
  <c r="F231" i="7" s="1"/>
  <c r="D23" i="10" s="1"/>
  <c r="AE25" i="2"/>
  <c r="AE24" i="2" s="1"/>
  <c r="AE23" i="2" s="1"/>
  <c r="AE22" i="2" s="1"/>
  <c r="F59" i="9"/>
  <c r="F58" i="9" s="1"/>
  <c r="F57" i="9" s="1"/>
  <c r="H951" i="7"/>
  <c r="H950" i="7" s="1"/>
  <c r="H946" i="7" s="1"/>
  <c r="F155" i="7"/>
  <c r="F154" i="7" s="1"/>
  <c r="E559" i="9"/>
  <c r="E558" i="9" s="1"/>
  <c r="E557" i="9" s="1"/>
  <c r="E556" i="9" s="1"/>
  <c r="F303" i="7"/>
  <c r="F302" i="7" s="1"/>
  <c r="F301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35" i="9"/>
  <c r="E534" i="9" s="1"/>
  <c r="J675" i="7"/>
  <c r="J674" i="7" s="1"/>
  <c r="F549" i="7"/>
  <c r="F548" i="7" s="1"/>
  <c r="F73" i="7"/>
  <c r="F72" i="7" s="1"/>
  <c r="AE408" i="2"/>
  <c r="AE407" i="2" s="1"/>
  <c r="J662" i="7"/>
  <c r="J661" i="7" s="1"/>
  <c r="F633" i="7"/>
  <c r="F632" i="7" s="1"/>
  <c r="F187" i="7"/>
  <c r="F959" i="7"/>
  <c r="F958" i="7" s="1"/>
  <c r="F115" i="7"/>
  <c r="F114" i="7" s="1"/>
  <c r="AD75" i="2"/>
  <c r="AD74" i="2" s="1"/>
  <c r="F482" i="9"/>
  <c r="F481" i="9" s="1"/>
  <c r="F480" i="9" s="1"/>
  <c r="F244" i="7"/>
  <c r="F243" i="7" s="1"/>
  <c r="F242" i="7" s="1"/>
  <c r="F638" i="9"/>
  <c r="F637" i="9" s="1"/>
  <c r="F636" i="9" s="1"/>
  <c r="F635" i="9" s="1"/>
  <c r="G319" i="7"/>
  <c r="G318" i="7" s="1"/>
  <c r="G315" i="7" s="1"/>
  <c r="F318" i="7"/>
  <c r="F315" i="7" s="1"/>
  <c r="AF217" i="2"/>
  <c r="AF216" i="2" s="1"/>
  <c r="F192" i="7"/>
  <c r="J386" i="7"/>
  <c r="J385" i="7" s="1"/>
  <c r="F297" i="9"/>
  <c r="F296" i="9" s="1"/>
  <c r="F295" i="9" s="1"/>
  <c r="F852" i="7"/>
  <c r="AD438" i="2"/>
  <c r="AD437" i="2" s="1"/>
  <c r="D664" i="9"/>
  <c r="D663" i="9" s="1"/>
  <c r="AF519" i="2"/>
  <c r="AF518" i="2" s="1"/>
  <c r="AF517" i="2" s="1"/>
  <c r="AF516" i="2" s="1"/>
  <c r="D100" i="9"/>
  <c r="D99" i="9" s="1"/>
  <c r="D98" i="9" s="1"/>
  <c r="D97" i="9" s="1"/>
  <c r="F627" i="7"/>
  <c r="F626" i="7" s="1"/>
  <c r="F625" i="7" s="1"/>
  <c r="J538" i="7"/>
  <c r="J537" i="7" s="1"/>
  <c r="J533" i="7" s="1"/>
  <c r="D573" i="9"/>
  <c r="D567" i="9" s="1"/>
  <c r="D566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1" i="2"/>
  <c r="AE270" i="2" s="1"/>
  <c r="AE269" i="2" s="1"/>
  <c r="AE268" i="2" s="1"/>
  <c r="E540" i="9"/>
  <c r="E539" i="9" s="1"/>
  <c r="AF438" i="2"/>
  <c r="AF437" i="2" s="1"/>
  <c r="AF430" i="2" s="1"/>
  <c r="AF429" i="2" s="1"/>
  <c r="H529" i="7"/>
  <c r="H528" i="7" s="1"/>
  <c r="H518" i="7" s="1"/>
  <c r="D220" i="9"/>
  <c r="D219" i="9" s="1"/>
  <c r="D218" i="9" s="1"/>
  <c r="D369" i="9"/>
  <c r="D368" i="9" s="1"/>
  <c r="D367" i="9" s="1"/>
  <c r="F941" i="7"/>
  <c r="F940" i="7" s="1"/>
  <c r="D482" i="9"/>
  <c r="D481" i="9" s="1"/>
  <c r="D480" i="9" s="1"/>
  <c r="F21" i="7"/>
  <c r="AD38" i="2"/>
  <c r="AD37" i="2" s="1"/>
  <c r="AD36" i="2" s="1"/>
  <c r="AD35" i="2" s="1"/>
  <c r="AD217" i="2"/>
  <c r="AD216" i="2" s="1"/>
  <c r="AD380" i="2"/>
  <c r="AE75" i="2"/>
  <c r="AE74" i="2" s="1"/>
  <c r="AE535" i="2"/>
  <c r="AE537" i="2"/>
  <c r="AE536" i="2" s="1"/>
  <c r="AE534" i="2"/>
  <c r="AE533" i="2" s="1"/>
  <c r="AE487" i="2"/>
  <c r="AE486" i="2" s="1"/>
  <c r="AE488" i="2"/>
  <c r="E573" i="9"/>
  <c r="F358" i="7"/>
  <c r="F357" i="7" s="1"/>
  <c r="F356" i="7" s="1"/>
  <c r="F355" i="7" s="1"/>
  <c r="AD67" i="2"/>
  <c r="E609" i="9"/>
  <c r="E608" i="9" s="1"/>
  <c r="E607" i="9" s="1"/>
  <c r="E598" i="9" s="1"/>
  <c r="E545" i="9"/>
  <c r="E544" i="9" s="1"/>
  <c r="E543" i="9" s="1"/>
  <c r="E303" i="9"/>
  <c r="E302" i="9" s="1"/>
  <c r="J203" i="7"/>
  <c r="F739" i="9"/>
  <c r="F738" i="9" s="1"/>
  <c r="F737" i="9" s="1"/>
  <c r="F720" i="7"/>
  <c r="F719" i="7" s="1"/>
  <c r="F718" i="7" s="1"/>
  <c r="F717" i="7" s="1"/>
  <c r="AD535" i="2"/>
  <c r="F152" i="7"/>
  <c r="F151" i="7" s="1"/>
  <c r="F790" i="7"/>
  <c r="F789" i="7" s="1"/>
  <c r="F768" i="7"/>
  <c r="F767" i="7" s="1"/>
  <c r="F97" i="7"/>
  <c r="AE507" i="2"/>
  <c r="AE506" i="2" s="1"/>
  <c r="AE505" i="2" s="1"/>
  <c r="E29" i="9"/>
  <c r="E28" i="9" s="1"/>
  <c r="E27" i="9" s="1"/>
  <c r="E26" i="9" s="1"/>
  <c r="E25" i="9" s="1"/>
  <c r="AE241" i="2"/>
  <c r="AE240" i="2" s="1"/>
  <c r="AE239" i="2" s="1"/>
  <c r="AE231" i="2" s="1"/>
  <c r="E201" i="9"/>
  <c r="E200" i="9" s="1"/>
  <c r="E199" i="9" s="1"/>
  <c r="F139" i="7"/>
  <c r="AF380" i="2"/>
  <c r="F753" i="9"/>
  <c r="F752" i="9" s="1"/>
  <c r="F751" i="9" s="1"/>
  <c r="I634" i="7"/>
  <c r="I633" i="7" s="1"/>
  <c r="I632" i="7" s="1"/>
  <c r="I624" i="7" s="1"/>
  <c r="I623" i="7" s="1"/>
  <c r="E644" i="9"/>
  <c r="F644" i="9"/>
  <c r="E533" i="9"/>
  <c r="E532" i="9" s="1"/>
  <c r="F773" i="9"/>
  <c r="F772" i="9" s="1"/>
  <c r="F771" i="9" s="1"/>
  <c r="F609" i="9"/>
  <c r="F608" i="9" s="1"/>
  <c r="F607" i="9" s="1"/>
  <c r="F598" i="9" s="1"/>
  <c r="F570" i="9"/>
  <c r="F569" i="9" s="1"/>
  <c r="F568" i="9" s="1"/>
  <c r="E482" i="9"/>
  <c r="E481" i="9" s="1"/>
  <c r="E480" i="9" s="1"/>
  <c r="E739" i="9"/>
  <c r="E738" i="9" s="1"/>
  <c r="E737" i="9" s="1"/>
  <c r="F509" i="9"/>
  <c r="F508" i="9" s="1"/>
  <c r="F507" i="9" s="1"/>
  <c r="F545" i="9"/>
  <c r="F544" i="9" s="1"/>
  <c r="F543" i="9" s="1"/>
  <c r="F29" i="9"/>
  <c r="F28" i="9" s="1"/>
  <c r="F27" i="9" s="1"/>
  <c r="F26" i="9" s="1"/>
  <c r="F25" i="9" s="1"/>
  <c r="F299" i="7"/>
  <c r="F298" i="7" s="1"/>
  <c r="F538" i="9"/>
  <c r="F537" i="9" s="1"/>
  <c r="F936" i="7"/>
  <c r="F935" i="7" s="1"/>
  <c r="F931" i="7" s="1"/>
  <c r="F44" i="9"/>
  <c r="F43" i="9" s="1"/>
  <c r="F42" i="9" s="1"/>
  <c r="J493" i="7"/>
  <c r="J490" i="7" s="1"/>
  <c r="E630" i="9"/>
  <c r="E629" i="9" s="1"/>
  <c r="E628" i="9" s="1"/>
  <c r="E627" i="9" s="1"/>
  <c r="F201" i="9"/>
  <c r="F200" i="9" s="1"/>
  <c r="F199" i="9" s="1"/>
  <c r="E353" i="9"/>
  <c r="E352" i="9" s="1"/>
  <c r="F597" i="7"/>
  <c r="F596" i="7" s="1"/>
  <c r="F96" i="7"/>
  <c r="F469" i="9"/>
  <c r="F468" i="9" s="1"/>
  <c r="F467" i="9" s="1"/>
  <c r="F42" i="7"/>
  <c r="F41" i="7" s="1"/>
  <c r="F817" i="7"/>
  <c r="F816" i="7" s="1"/>
  <c r="F185" i="7"/>
  <c r="F793" i="7"/>
  <c r="F792" i="7" s="1"/>
  <c r="E450" i="9"/>
  <c r="E449" i="9" s="1"/>
  <c r="F590" i="9"/>
  <c r="F589" i="9" s="1"/>
  <c r="F588" i="9" s="1"/>
  <c r="F587" i="9" s="1"/>
  <c r="F273" i="9"/>
  <c r="F620" i="9"/>
  <c r="F619" i="9" s="1"/>
  <c r="F618" i="9" s="1"/>
  <c r="F617" i="9" s="1"/>
  <c r="F616" i="9" s="1"/>
  <c r="F303" i="9"/>
  <c r="F302" i="9" s="1"/>
  <c r="F301" i="9" s="1"/>
  <c r="F339" i="9"/>
  <c r="F338" i="9" s="1"/>
  <c r="F337" i="9" s="1"/>
  <c r="F336" i="9" s="1"/>
  <c r="F270" i="7"/>
  <c r="F269" i="7" s="1"/>
  <c r="F190" i="7"/>
  <c r="H229" i="7"/>
  <c r="H228" i="7" s="1"/>
  <c r="H259" i="7"/>
  <c r="H959" i="7"/>
  <c r="H958" i="7" s="1"/>
  <c r="F600" i="7"/>
  <c r="F599" i="7" s="1"/>
  <c r="E496" i="9"/>
  <c r="E495" i="9" s="1"/>
  <c r="E494" i="9" s="1"/>
  <c r="F455" i="9"/>
  <c r="F454" i="9" s="1"/>
  <c r="F453" i="9" s="1"/>
  <c r="E538" i="9"/>
  <c r="E537" i="9" s="1"/>
  <c r="E44" i="9"/>
  <c r="E43" i="9" s="1"/>
  <c r="E42" i="9" s="1"/>
  <c r="J941" i="7"/>
  <c r="J940" i="7" s="1"/>
  <c r="J925" i="7"/>
  <c r="H868" i="7"/>
  <c r="H675" i="7"/>
  <c r="H674" i="7" s="1"/>
  <c r="AD255" i="2"/>
  <c r="AD254" i="2" s="1"/>
  <c r="AD253" i="2" s="1"/>
  <c r="J96" i="7"/>
  <c r="J97" i="7"/>
  <c r="H135" i="7"/>
  <c r="H134" i="7" s="1"/>
  <c r="E446" i="9"/>
  <c r="E445" i="9" s="1"/>
  <c r="H109" i="7"/>
  <c r="H108" i="7" s="1"/>
  <c r="E767" i="9"/>
  <c r="E766" i="9" s="1"/>
  <c r="E765" i="9" s="1"/>
  <c r="H263" i="7"/>
  <c r="H262" i="7" s="1"/>
  <c r="D638" i="9"/>
  <c r="D637" i="9" s="1"/>
  <c r="D636" i="9" s="1"/>
  <c r="D635" i="9" s="1"/>
  <c r="F823" i="7"/>
  <c r="F822" i="7" s="1"/>
  <c r="F821" i="7" s="1"/>
  <c r="E472" i="9"/>
  <c r="E471" i="9" s="1"/>
  <c r="E470" i="9" s="1"/>
  <c r="J181" i="7"/>
  <c r="J176" i="7" s="1"/>
  <c r="F529" i="9"/>
  <c r="F528" i="9" s="1"/>
  <c r="F523" i="9" s="1"/>
  <c r="E62" i="10"/>
  <c r="E61" i="10" s="1"/>
  <c r="H379" i="7"/>
  <c r="H378" i="7" s="1"/>
  <c r="H377" i="7" s="1"/>
  <c r="E633" i="9"/>
  <c r="E632" i="9" s="1"/>
  <c r="E631" i="9" s="1"/>
  <c r="H488" i="7"/>
  <c r="H487" i="7" s="1"/>
  <c r="E300" i="9"/>
  <c r="E299" i="9" s="1"/>
  <c r="E298" i="9" s="1"/>
  <c r="E736" i="9"/>
  <c r="E735" i="9" s="1"/>
  <c r="E734" i="9" s="1"/>
  <c r="H597" i="7"/>
  <c r="H596" i="7" s="1"/>
  <c r="F34" i="7"/>
  <c r="F35" i="7"/>
  <c r="D59" i="9"/>
  <c r="D58" i="9" s="1"/>
  <c r="D57" i="9" s="1"/>
  <c r="F866" i="7"/>
  <c r="F865" i="7" s="1"/>
  <c r="G390" i="7"/>
  <c r="G389" i="7" s="1"/>
  <c r="G388" i="7" s="1"/>
  <c r="G384" i="7" s="1"/>
  <c r="G383" i="7" s="1"/>
  <c r="G382" i="7" s="1"/>
  <c r="G381" i="7" s="1"/>
  <c r="F389" i="7"/>
  <c r="F388" i="7" s="1"/>
  <c r="D297" i="9"/>
  <c r="D296" i="9" s="1"/>
  <c r="D295" i="9" s="1"/>
  <c r="F386" i="7"/>
  <c r="F385" i="7" s="1"/>
  <c r="D500" i="9"/>
  <c r="D499" i="9" s="1"/>
  <c r="D498" i="9" s="1"/>
  <c r="F94" i="7"/>
  <c r="F93" i="7" s="1"/>
  <c r="D472" i="9"/>
  <c r="D471" i="9" s="1"/>
  <c r="D470" i="9" s="1"/>
  <c r="F158" i="7"/>
  <c r="F157" i="7" s="1"/>
  <c r="D461" i="9"/>
  <c r="D460" i="9" s="1"/>
  <c r="G148" i="7"/>
  <c r="G147" i="7" s="1"/>
  <c r="D590" i="9"/>
  <c r="D589" i="9" s="1"/>
  <c r="D588" i="9" s="1"/>
  <c r="D587" i="9" s="1"/>
  <c r="G205" i="7"/>
  <c r="G204" i="7" s="1"/>
  <c r="G203" i="7" s="1"/>
  <c r="G202" i="7" s="1"/>
  <c r="G201" i="7" s="1"/>
  <c r="G200" i="7" s="1"/>
  <c r="D558" i="9"/>
  <c r="D557" i="9" s="1"/>
  <c r="D556" i="9" s="1"/>
  <c r="F508" i="7"/>
  <c r="F507" i="7" s="1"/>
  <c r="F506" i="7" s="1"/>
  <c r="F505" i="7" s="1"/>
  <c r="F504" i="7" s="1"/>
  <c r="D112" i="9"/>
  <c r="D111" i="9" s="1"/>
  <c r="D108" i="9" s="1"/>
  <c r="F659" i="7"/>
  <c r="F656" i="7" s="1"/>
  <c r="E112" i="9"/>
  <c r="E111" i="9" s="1"/>
  <c r="E108" i="9" s="1"/>
  <c r="H659" i="7"/>
  <c r="H656" i="7" s="1"/>
  <c r="F691" i="9"/>
  <c r="F690" i="9" s="1"/>
  <c r="F689" i="9" s="1"/>
  <c r="J552" i="7"/>
  <c r="J551" i="7" s="1"/>
  <c r="J544" i="7" s="1"/>
  <c r="F688" i="9"/>
  <c r="F687" i="9" s="1"/>
  <c r="F686" i="9" s="1"/>
  <c r="J720" i="7"/>
  <c r="J719" i="7" s="1"/>
  <c r="J718" i="7" s="1"/>
  <c r="J717" i="7" s="1"/>
  <c r="H627" i="7"/>
  <c r="H626" i="7" s="1"/>
  <c r="H625" i="7" s="1"/>
  <c r="E100" i="9"/>
  <c r="E99" i="9" s="1"/>
  <c r="E98" i="9" s="1"/>
  <c r="E97" i="9" s="1"/>
  <c r="J42" i="7"/>
  <c r="J41" i="7" s="1"/>
  <c r="F760" i="9"/>
  <c r="F759" i="9" s="1"/>
  <c r="F758" i="9" s="1"/>
  <c r="J793" i="7"/>
  <c r="J792" i="7" s="1"/>
  <c r="F198" i="9"/>
  <c r="F197" i="9" s="1"/>
  <c r="F196" i="9" s="1"/>
  <c r="J488" i="7"/>
  <c r="J487" i="7" s="1"/>
  <c r="F300" i="9"/>
  <c r="F299" i="9" s="1"/>
  <c r="F298" i="9" s="1"/>
  <c r="H68" i="7"/>
  <c r="H65" i="7" s="1"/>
  <c r="E487" i="9"/>
  <c r="E484" i="9" s="1"/>
  <c r="H252" i="7"/>
  <c r="H251" i="7" s="1"/>
  <c r="H250" i="7" s="1"/>
  <c r="J52" i="7"/>
  <c r="K53" i="7"/>
  <c r="K52" i="7" s="1"/>
  <c r="H336" i="7"/>
  <c r="F76" i="7"/>
  <c r="F75" i="7" s="1"/>
  <c r="F147" i="7"/>
  <c r="F466" i="9"/>
  <c r="F465" i="9" s="1"/>
  <c r="F464" i="9" s="1"/>
  <c r="J252" i="7"/>
  <c r="J251" i="7" s="1"/>
  <c r="J250" i="7" s="1"/>
  <c r="J241" i="7" s="1"/>
  <c r="D708" i="9"/>
  <c r="D707" i="9" s="1"/>
  <c r="E506" i="9"/>
  <c r="E505" i="9" s="1"/>
  <c r="E504" i="9" s="1"/>
  <c r="E469" i="9"/>
  <c r="E468" i="9" s="1"/>
  <c r="E467" i="9" s="1"/>
  <c r="J204" i="7"/>
  <c r="F195" i="9"/>
  <c r="F194" i="9" s="1"/>
  <c r="F193" i="9" s="1"/>
  <c r="G942" i="7"/>
  <c r="G941" i="7" s="1"/>
  <c r="G940" i="7" s="1"/>
  <c r="F32" i="7"/>
  <c r="F31" i="7" s="1"/>
  <c r="F181" i="7"/>
  <c r="F176" i="7" s="1"/>
  <c r="E783" i="9"/>
  <c r="E782" i="9" s="1"/>
  <c r="E781" i="9" s="1"/>
  <c r="E777" i="9" s="1"/>
  <c r="E59" i="9"/>
  <c r="E58" i="9" s="1"/>
  <c r="E57" i="9" s="1"/>
  <c r="G926" i="7"/>
  <c r="F45" i="7"/>
  <c r="F44" i="7" s="1"/>
  <c r="J35" i="7"/>
  <c r="F100" i="7"/>
  <c r="F99" i="7" s="1"/>
  <c r="E60" i="9"/>
  <c r="E176" i="9"/>
  <c r="D272" i="9"/>
  <c r="J379" i="7"/>
  <c r="J378" i="7" s="1"/>
  <c r="J377" i="7" s="1"/>
  <c r="F634" i="9"/>
  <c r="F633" i="9" s="1"/>
  <c r="F632" i="9" s="1"/>
  <c r="F631" i="9" s="1"/>
  <c r="H270" i="7"/>
  <c r="H269" i="7" s="1"/>
  <c r="E339" i="9"/>
  <c r="E338" i="9" s="1"/>
  <c r="E337" i="9" s="1"/>
  <c r="E336" i="9" s="1"/>
  <c r="J597" i="7"/>
  <c r="J596" i="7" s="1"/>
  <c r="F736" i="9"/>
  <c r="F735" i="9" s="1"/>
  <c r="F734" i="9" s="1"/>
  <c r="E234" i="9"/>
  <c r="E233" i="9" s="1"/>
  <c r="I55" i="7"/>
  <c r="I54" i="7" s="1"/>
  <c r="H54" i="7"/>
  <c r="J678" i="7"/>
  <c r="J677" i="7" s="1"/>
  <c r="F112" i="9"/>
  <c r="F111" i="9" s="1"/>
  <c r="F108" i="9" s="1"/>
  <c r="J659" i="7"/>
  <c r="J656" i="7" s="1"/>
  <c r="H900" i="7"/>
  <c r="J299" i="7"/>
  <c r="J298" i="7" s="1"/>
  <c r="F284" i="9"/>
  <c r="F283" i="9" s="1"/>
  <c r="K925" i="7"/>
  <c r="E708" i="9"/>
  <c r="E707" i="9" s="1"/>
  <c r="F234" i="9"/>
  <c r="F233" i="9" s="1"/>
  <c r="K55" i="7"/>
  <c r="K54" i="7" s="1"/>
  <c r="J54" i="7"/>
  <c r="D353" i="9"/>
  <c r="D352" i="9" s="1"/>
  <c r="F284" i="7"/>
  <c r="D107" i="9"/>
  <c r="D106" i="9" s="1"/>
  <c r="D105" i="9" s="1"/>
  <c r="F654" i="7"/>
  <c r="F653" i="7" s="1"/>
  <c r="F493" i="7"/>
  <c r="F403" i="7"/>
  <c r="F402" i="7" s="1"/>
  <c r="F401" i="7" s="1"/>
  <c r="F400" i="7" s="1"/>
  <c r="F399" i="7" s="1"/>
  <c r="F398" i="7" s="1"/>
  <c r="F39" i="7"/>
  <c r="F38" i="7" s="1"/>
  <c r="E586" i="9"/>
  <c r="E585" i="9" s="1"/>
  <c r="E584" i="9" s="1"/>
  <c r="E500" i="9"/>
  <c r="E499" i="9" s="1"/>
  <c r="E498" i="9" s="1"/>
  <c r="F515" i="9"/>
  <c r="F514" i="9" s="1"/>
  <c r="F513" i="9" s="1"/>
  <c r="F559" i="9"/>
  <c r="F558" i="9" s="1"/>
  <c r="F557" i="9" s="1"/>
  <c r="F556" i="9" s="1"/>
  <c r="F369" i="9"/>
  <c r="F368" i="9" s="1"/>
  <c r="F367" i="9" s="1"/>
  <c r="F814" i="7"/>
  <c r="F708" i="9"/>
  <c r="F707" i="9" s="1"/>
  <c r="H720" i="7"/>
  <c r="H719" i="7" s="1"/>
  <c r="H718" i="7" s="1"/>
  <c r="H717" i="7" s="1"/>
  <c r="H330" i="7"/>
  <c r="H329" i="7" s="1"/>
  <c r="H328" i="7" s="1"/>
  <c r="H320" i="7" s="1"/>
  <c r="G924" i="7"/>
  <c r="G923" i="7" s="1"/>
  <c r="J592" i="7"/>
  <c r="J591" i="7" s="1"/>
  <c r="F731" i="9"/>
  <c r="F730" i="9" s="1"/>
  <c r="F729" i="9" s="1"/>
  <c r="F209" i="9"/>
  <c r="F208" i="9" s="1"/>
  <c r="F207" i="9" s="1"/>
  <c r="F206" i="9" s="1"/>
  <c r="F205" i="9" s="1"/>
  <c r="J903" i="7"/>
  <c r="J902" i="7" s="1"/>
  <c r="J901" i="7"/>
  <c r="J899" i="7" s="1"/>
  <c r="J898" i="7" s="1"/>
  <c r="D38" i="9"/>
  <c r="D37" i="9" s="1"/>
  <c r="D36" i="9" s="1"/>
  <c r="F845" i="7"/>
  <c r="F844" i="7" s="1"/>
  <c r="D357" i="9"/>
  <c r="D630" i="9"/>
  <c r="D629" i="9" s="1"/>
  <c r="D628" i="9" s="1"/>
  <c r="D627" i="9" s="1"/>
  <c r="D728" i="9"/>
  <c r="D727" i="9" s="1"/>
  <c r="D726" i="9" s="1"/>
  <c r="D154" i="9"/>
  <c r="D153" i="9" s="1"/>
  <c r="D152" i="9" s="1"/>
  <c r="D151" i="9" s="1"/>
  <c r="F689" i="7"/>
  <c r="F688" i="7" s="1"/>
  <c r="F687" i="7" s="1"/>
  <c r="J68" i="7"/>
  <c r="J65" i="7" s="1"/>
  <c r="F487" i="9"/>
  <c r="F484" i="9" s="1"/>
  <c r="J389" i="7"/>
  <c r="J388" i="7" s="1"/>
  <c r="F310" i="9"/>
  <c r="F309" i="9" s="1"/>
  <c r="F308" i="9" s="1"/>
  <c r="H299" i="7"/>
  <c r="H298" i="7" s="1"/>
  <c r="E284" i="9"/>
  <c r="E283" i="9" s="1"/>
  <c r="F154" i="9"/>
  <c r="F153" i="9" s="1"/>
  <c r="F152" i="9" s="1"/>
  <c r="F151" i="9" s="1"/>
  <c r="J689" i="7"/>
  <c r="J688" i="7" s="1"/>
  <c r="J687" i="7" s="1"/>
  <c r="F135" i="7"/>
  <c r="F68" i="7"/>
  <c r="F65" i="7" s="1"/>
  <c r="F787" i="7"/>
  <c r="F786" i="7" s="1"/>
  <c r="F326" i="9"/>
  <c r="F325" i="9" s="1"/>
  <c r="F324" i="9" s="1"/>
  <c r="F323" i="9" s="1"/>
  <c r="F322" i="9" s="1"/>
  <c r="K634" i="7"/>
  <c r="K633" i="7" s="1"/>
  <c r="K632" i="7" s="1"/>
  <c r="K624" i="7" s="1"/>
  <c r="K623" i="7" s="1"/>
  <c r="D56" i="9"/>
  <c r="D55" i="9" s="1"/>
  <c r="D52" i="9" s="1"/>
  <c r="F863" i="7"/>
  <c r="F860" i="7" s="1"/>
  <c r="D232" i="9"/>
  <c r="D231" i="9" s="1"/>
  <c r="G53" i="7"/>
  <c r="G52" i="7" s="1"/>
  <c r="E154" i="9"/>
  <c r="E153" i="9" s="1"/>
  <c r="E152" i="9" s="1"/>
  <c r="E151" i="9" s="1"/>
  <c r="H689" i="7"/>
  <c r="H688" i="7" s="1"/>
  <c r="H687" i="7" s="1"/>
  <c r="F52" i="7"/>
  <c r="F51" i="7" s="1"/>
  <c r="F50" i="7" s="1"/>
  <c r="F49" i="7" s="1"/>
  <c r="F48" i="7" s="1"/>
  <c r="F796" i="7"/>
  <c r="F795" i="7" s="1"/>
  <c r="F167" i="7"/>
  <c r="F166" i="7" s="1"/>
  <c r="E760" i="9"/>
  <c r="E759" i="9" s="1"/>
  <c r="E758" i="9" s="1"/>
  <c r="E770" i="9"/>
  <c r="E769" i="9" s="1"/>
  <c r="E768" i="9" s="1"/>
  <c r="E305" i="9"/>
  <c r="E304" i="9" s="1"/>
  <c r="F506" i="9"/>
  <c r="F505" i="9" s="1"/>
  <c r="F504" i="9" s="1"/>
  <c r="F263" i="7"/>
  <c r="F262" i="7" s="1"/>
  <c r="E673" i="9"/>
  <c r="E672" i="9" s="1"/>
  <c r="E671" i="9" s="1"/>
  <c r="E667" i="9" s="1"/>
  <c r="J139" i="7"/>
  <c r="J263" i="7"/>
  <c r="J262" i="7" s="1"/>
  <c r="J375" i="7"/>
  <c r="J374" i="7" s="1"/>
  <c r="J373" i="7" s="1"/>
  <c r="F630" i="9"/>
  <c r="F629" i="9" s="1"/>
  <c r="F628" i="9" s="1"/>
  <c r="F627" i="9" s="1"/>
  <c r="J745" i="7"/>
  <c r="J746" i="7"/>
  <c r="H147" i="7"/>
  <c r="I148" i="7"/>
  <c r="I147" i="7" s="1"/>
  <c r="H662" i="7"/>
  <c r="H661" i="7" s="1"/>
  <c r="H371" i="7"/>
  <c r="H370" i="7" s="1"/>
  <c r="H369" i="7" s="1"/>
  <c r="E626" i="9"/>
  <c r="E625" i="9" s="1"/>
  <c r="E624" i="9" s="1"/>
  <c r="E623" i="9" s="1"/>
  <c r="F220" i="9"/>
  <c r="F219" i="9" s="1"/>
  <c r="J810" i="7"/>
  <c r="J809" i="7" s="1"/>
  <c r="E209" i="9"/>
  <c r="E208" i="9" s="1"/>
  <c r="E207" i="9" s="1"/>
  <c r="E206" i="9" s="1"/>
  <c r="E205" i="9" s="1"/>
  <c r="G928" i="7"/>
  <c r="G927" i="7" s="1"/>
  <c r="F927" i="7"/>
  <c r="F678" i="7"/>
  <c r="F677" i="7" s="1"/>
  <c r="H150" i="7"/>
  <c r="H149" i="7" s="1"/>
  <c r="J753" i="7"/>
  <c r="J752" i="7" s="1"/>
  <c r="F315" i="9"/>
  <c r="F314" i="9" s="1"/>
  <c r="F313" i="9" s="1"/>
  <c r="F312" i="9" s="1"/>
  <c r="F311" i="9" s="1"/>
  <c r="J259" i="7"/>
  <c r="G230" i="7"/>
  <c r="G229" i="7" s="1"/>
  <c r="G228" i="7" s="1"/>
  <c r="G663" i="7"/>
  <c r="G662" i="7" s="1"/>
  <c r="G661" i="7" s="1"/>
  <c r="G648" i="7" s="1"/>
  <c r="F662" i="7"/>
  <c r="F661" i="7" s="1"/>
  <c r="F128" i="7"/>
  <c r="F127" i="7" s="1"/>
  <c r="F126" i="7" s="1"/>
  <c r="E750" i="9"/>
  <c r="E749" i="9" s="1"/>
  <c r="E748" i="9" s="1"/>
  <c r="E461" i="9"/>
  <c r="E460" i="9" s="1"/>
  <c r="E326" i="9"/>
  <c r="E325" i="9" s="1"/>
  <c r="E324" i="9" s="1"/>
  <c r="E323" i="9" s="1"/>
  <c r="E322" i="9" s="1"/>
  <c r="F745" i="7"/>
  <c r="F744" i="7" s="1"/>
  <c r="F923" i="7"/>
  <c r="H845" i="7"/>
  <c r="H844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7" i="9"/>
  <c r="D136" i="9" s="1"/>
  <c r="D135" i="9" s="1"/>
  <c r="D134" i="9" s="1"/>
  <c r="F675" i="7"/>
  <c r="F674" i="7" s="1"/>
  <c r="G676" i="7"/>
  <c r="G675" i="7" s="1"/>
  <c r="G674" i="7" s="1"/>
  <c r="G673" i="7" s="1"/>
  <c r="E107" i="9"/>
  <c r="E106" i="9" s="1"/>
  <c r="E105" i="9" s="1"/>
  <c r="H654" i="7"/>
  <c r="H653" i="7" s="1"/>
  <c r="H652" i="7" s="1"/>
  <c r="E691" i="9"/>
  <c r="E690" i="9" s="1"/>
  <c r="E689" i="9" s="1"/>
  <c r="F109" i="7"/>
  <c r="F108" i="7" s="1"/>
  <c r="E597" i="9"/>
  <c r="E596" i="9" s="1"/>
  <c r="E595" i="9" s="1"/>
  <c r="E509" i="9"/>
  <c r="E508" i="9" s="1"/>
  <c r="E507" i="9" s="1"/>
  <c r="E195" i="9"/>
  <c r="E194" i="9" s="1"/>
  <c r="E193" i="9" s="1"/>
  <c r="E570" i="9"/>
  <c r="E569" i="9" s="1"/>
  <c r="E568" i="9" s="1"/>
  <c r="F753" i="7"/>
  <c r="F752" i="7" s="1"/>
  <c r="F500" i="9"/>
  <c r="F499" i="9" s="1"/>
  <c r="F498" i="9" s="1"/>
  <c r="F38" i="9"/>
  <c r="F37" i="9" s="1"/>
  <c r="F36" i="9" s="1"/>
  <c r="K319" i="7"/>
  <c r="K318" i="7" s="1"/>
  <c r="K315" i="7" s="1"/>
  <c r="F41" i="9"/>
  <c r="F40" i="9" s="1"/>
  <c r="F39" i="9" s="1"/>
  <c r="J848" i="7"/>
  <c r="J847" i="7" s="1"/>
  <c r="J843" i="7" s="1"/>
  <c r="J842" i="7" s="1"/>
  <c r="F232" i="9"/>
  <c r="F231" i="9"/>
  <c r="E224" i="9"/>
  <c r="E223" i="9" s="1"/>
  <c r="I924" i="7"/>
  <c r="I923" i="7" s="1"/>
  <c r="H923" i="7"/>
  <c r="E773" i="9"/>
  <c r="E772" i="9" s="1"/>
  <c r="E771" i="9" s="1"/>
  <c r="F176" i="9"/>
  <c r="F175" i="9"/>
  <c r="F174" i="9" s="1"/>
  <c r="J135" i="7"/>
  <c r="F445" i="9"/>
  <c r="J529" i="7"/>
  <c r="J528" i="7" s="1"/>
  <c r="J518" i="7" s="1"/>
  <c r="F664" i="9"/>
  <c r="F663" i="9" s="1"/>
  <c r="F662" i="9" s="1"/>
  <c r="F652" i="9" s="1"/>
  <c r="H746" i="7"/>
  <c r="H745" i="7"/>
  <c r="H744" i="7" s="1"/>
  <c r="H39" i="7"/>
  <c r="H38" i="7" s="1"/>
  <c r="H37" i="7" s="1"/>
  <c r="E757" i="9"/>
  <c r="E756" i="9" s="1"/>
  <c r="E755" i="9" s="1"/>
  <c r="H787" i="7"/>
  <c r="H786" i="7" s="1"/>
  <c r="E192" i="9"/>
  <c r="E191" i="9" s="1"/>
  <c r="E190" i="9" s="1"/>
  <c r="H403" i="7"/>
  <c r="H402" i="7" s="1"/>
  <c r="H401" i="7" s="1"/>
  <c r="H400" i="7" s="1"/>
  <c r="H399" i="7" s="1"/>
  <c r="H398" i="7" s="1"/>
  <c r="E455" i="9"/>
  <c r="E454" i="9" s="1"/>
  <c r="E453" i="9" s="1"/>
  <c r="D770" i="9"/>
  <c r="D769" i="9" s="1"/>
  <c r="D768" i="9" s="1"/>
  <c r="D764" i="9" s="1"/>
  <c r="F112" i="7"/>
  <c r="F111" i="7" s="1"/>
  <c r="AF487" i="2"/>
  <c r="AF486" i="2" s="1"/>
  <c r="AF488" i="2"/>
  <c r="F868" i="7"/>
  <c r="D41" i="9"/>
  <c r="D40" i="9" s="1"/>
  <c r="D39" i="9" s="1"/>
  <c r="F848" i="7"/>
  <c r="F847" i="7" s="1"/>
  <c r="D241" i="9"/>
  <c r="D240" i="9" s="1"/>
  <c r="D236" i="9" s="1"/>
  <c r="D235" i="9" s="1"/>
  <c r="F951" i="7"/>
  <c r="F950" i="7" s="1"/>
  <c r="F946" i="7" s="1"/>
  <c r="AF534" i="2"/>
  <c r="AF533" i="2" s="1"/>
  <c r="AF535" i="2"/>
  <c r="H389" i="7"/>
  <c r="H388" i="7" s="1"/>
  <c r="H384" i="7" s="1"/>
  <c r="H383" i="7" s="1"/>
  <c r="H382" i="7" s="1"/>
  <c r="H381" i="7" s="1"/>
  <c r="E310" i="9"/>
  <c r="E309" i="9" s="1"/>
  <c r="E308" i="9" s="1"/>
  <c r="J737" i="7"/>
  <c r="J736" i="7" s="1"/>
  <c r="K738" i="7"/>
  <c r="K737" i="7" s="1"/>
  <c r="K736" i="7" s="1"/>
  <c r="K735" i="7" s="1"/>
  <c r="F56" i="9"/>
  <c r="F55" i="9" s="1"/>
  <c r="F52" i="9" s="1"/>
  <c r="F767" i="9"/>
  <c r="F766" i="9" s="1"/>
  <c r="F765" i="9" s="1"/>
  <c r="J627" i="7"/>
  <c r="J626" i="7" s="1"/>
  <c r="J625" i="7" s="1"/>
  <c r="F100" i="9"/>
  <c r="F99" i="9" s="1"/>
  <c r="F98" i="9" s="1"/>
  <c r="F97" i="9" s="1"/>
  <c r="J787" i="7"/>
  <c r="J786" i="7" s="1"/>
  <c r="F192" i="9"/>
  <c r="F191" i="9" s="1"/>
  <c r="F190" i="9" s="1"/>
  <c r="H167" i="7"/>
  <c r="H166" i="7" s="1"/>
  <c r="H925" i="7"/>
  <c r="I926" i="7"/>
  <c r="I319" i="7"/>
  <c r="I318" i="7" s="1"/>
  <c r="I315" i="7" s="1"/>
  <c r="E273" i="9"/>
  <c r="D209" i="9"/>
  <c r="D208" i="9" s="1"/>
  <c r="D207" i="9" s="1"/>
  <c r="D206" i="9" s="1"/>
  <c r="D205" i="9" s="1"/>
  <c r="F901" i="7"/>
  <c r="D310" i="9"/>
  <c r="D309" i="9" s="1"/>
  <c r="D308" i="9" s="1"/>
  <c r="D626" i="9"/>
  <c r="D625" i="9" s="1"/>
  <c r="D624" i="9" s="1"/>
  <c r="D623" i="9" s="1"/>
  <c r="F371" i="7"/>
  <c r="F370" i="7" s="1"/>
  <c r="F369" i="7" s="1"/>
  <c r="E183" i="9"/>
  <c r="E182" i="9" s="1"/>
  <c r="E554" i="9"/>
  <c r="E553" i="9" s="1"/>
  <c r="E552" i="9" s="1"/>
  <c r="J86" i="7"/>
  <c r="J85" i="7" s="1"/>
  <c r="J84" i="7" s="1"/>
  <c r="H204" i="7"/>
  <c r="H203" i="7" s="1"/>
  <c r="H202" i="7" s="1"/>
  <c r="I205" i="7"/>
  <c r="I204" i="7" s="1"/>
  <c r="I203" i="7" s="1"/>
  <c r="I202" i="7" s="1"/>
  <c r="E590" i="9"/>
  <c r="E589" i="9" s="1"/>
  <c r="E588" i="9" s="1"/>
  <c r="E587" i="9" s="1"/>
  <c r="H96" i="7"/>
  <c r="H97" i="7"/>
  <c r="H303" i="7"/>
  <c r="H302" i="7" s="1"/>
  <c r="H301" i="7" s="1"/>
  <c r="E292" i="9"/>
  <c r="E291" i="9" s="1"/>
  <c r="H927" i="7"/>
  <c r="I928" i="7"/>
  <c r="I927" i="7" s="1"/>
  <c r="J147" i="7"/>
  <c r="K148" i="7"/>
  <c r="K147" i="7" s="1"/>
  <c r="H549" i="7"/>
  <c r="H548" i="7" s="1"/>
  <c r="H544" i="7" s="1"/>
  <c r="E687" i="9"/>
  <c r="E686" i="9" s="1"/>
  <c r="D234" i="9"/>
  <c r="D233" i="9" s="1"/>
  <c r="G55" i="7"/>
  <c r="G54" i="7" s="1"/>
  <c r="F60" i="9"/>
  <c r="E231" i="9"/>
  <c r="E232" i="9"/>
  <c r="H52" i="7"/>
  <c r="I53" i="7"/>
  <c r="I52" i="7" s="1"/>
  <c r="F107" i="9"/>
  <c r="F106" i="9" s="1"/>
  <c r="F105" i="9" s="1"/>
  <c r="J654" i="7"/>
  <c r="J653" i="7" s="1"/>
  <c r="D593" i="9"/>
  <c r="D592" i="9" s="1"/>
  <c r="D312" i="9"/>
  <c r="D311" i="9" s="1"/>
  <c r="D754" i="9"/>
  <c r="AD534" i="2"/>
  <c r="AD533" i="2" s="1"/>
  <c r="AD488" i="2"/>
  <c r="AD487" i="2"/>
  <c r="AD486" i="2" s="1"/>
  <c r="AD241" i="2"/>
  <c r="AD240" i="2" s="1"/>
  <c r="AD239" i="2" s="1"/>
  <c r="AD231" i="2" s="1"/>
  <c r="AD271" i="2"/>
  <c r="AD270" i="2" s="1"/>
  <c r="AD269" i="2" s="1"/>
  <c r="AD268" i="2" s="1"/>
  <c r="AD507" i="2"/>
  <c r="AD506" i="2" s="1"/>
  <c r="AD505" i="2" s="1"/>
  <c r="AF271" i="2"/>
  <c r="AF270" i="2" s="1"/>
  <c r="AF269" i="2" s="1"/>
  <c r="AF268" i="2" s="1"/>
  <c r="J112" i="7"/>
  <c r="J111" i="7" s="1"/>
  <c r="J107" i="7" s="1"/>
  <c r="F770" i="9"/>
  <c r="F769" i="9" s="1"/>
  <c r="F768" i="9" s="1"/>
  <c r="F332" i="7"/>
  <c r="F331" i="7" s="1"/>
  <c r="F836" i="7"/>
  <c r="F835" i="7" s="1"/>
  <c r="F834" i="7" s="1"/>
  <c r="F833" i="7" s="1"/>
  <c r="AF38" i="2"/>
  <c r="AF37" i="2" s="1"/>
  <c r="F750" i="9"/>
  <c r="F749" i="9" s="1"/>
  <c r="F748" i="9" s="1"/>
  <c r="J145" i="7"/>
  <c r="K146" i="7"/>
  <c r="K145" i="7" s="1"/>
  <c r="F459" i="9"/>
  <c r="J128" i="7"/>
  <c r="J127" i="7" s="1"/>
  <c r="F783" i="9"/>
  <c r="F782" i="9" s="1"/>
  <c r="F781" i="9" s="1"/>
  <c r="F777" i="9" s="1"/>
  <c r="J73" i="7"/>
  <c r="J72" i="7" s="1"/>
  <c r="F493" i="9"/>
  <c r="F492" i="9" s="1"/>
  <c r="F491" i="9" s="1"/>
  <c r="J868" i="7"/>
  <c r="AF255" i="2"/>
  <c r="AF254" i="2" s="1"/>
  <c r="AF253" i="2" s="1"/>
  <c r="AE255" i="2"/>
  <c r="AE254" i="2" s="1"/>
  <c r="AE253" i="2" s="1"/>
  <c r="J284" i="7"/>
  <c r="F353" i="9"/>
  <c r="F352" i="9" s="1"/>
  <c r="J371" i="7"/>
  <c r="J370" i="7" s="1"/>
  <c r="J369" i="7" s="1"/>
  <c r="F626" i="9"/>
  <c r="F625" i="9" s="1"/>
  <c r="F624" i="9" s="1"/>
  <c r="F623" i="9" s="1"/>
  <c r="J332" i="7"/>
  <c r="F597" i="9"/>
  <c r="F596" i="9" s="1"/>
  <c r="F595" i="9" s="1"/>
  <c r="F594" i="9" s="1"/>
  <c r="F62" i="10"/>
  <c r="F61" i="10" s="1"/>
  <c r="H145" i="7"/>
  <c r="I146" i="7"/>
  <c r="I145" i="7" s="1"/>
  <c r="D459" i="9"/>
  <c r="G146" i="7"/>
  <c r="G145" i="7" s="1"/>
  <c r="AE38" i="2"/>
  <c r="AE37" i="2" s="1"/>
  <c r="AE36" i="2" s="1"/>
  <c r="AE35" i="2" s="1"/>
  <c r="E459" i="9"/>
  <c r="E529" i="9"/>
  <c r="E528" i="9" s="1"/>
  <c r="E523" i="9" s="1"/>
  <c r="F183" i="9"/>
  <c r="F182" i="9" s="1"/>
  <c r="F757" i="9"/>
  <c r="F756" i="9" s="1"/>
  <c r="F755" i="9" s="1"/>
  <c r="F540" i="9"/>
  <c r="F539" i="9" s="1"/>
  <c r="F763" i="9"/>
  <c r="F762" i="9" s="1"/>
  <c r="F761" i="9" s="1"/>
  <c r="J45" i="7"/>
  <c r="J44" i="7" s="1"/>
  <c r="H34" i="7"/>
  <c r="H35" i="7"/>
  <c r="F472" i="9"/>
  <c r="F471" i="9" s="1"/>
  <c r="F470" i="9" s="1"/>
  <c r="J158" i="7"/>
  <c r="J157" i="7" s="1"/>
  <c r="J229" i="7"/>
  <c r="J228" i="7" s="1"/>
  <c r="K230" i="7"/>
  <c r="K229" i="7" s="1"/>
  <c r="K228" i="7" s="1"/>
  <c r="H125" i="7"/>
  <c r="E220" i="9"/>
  <c r="E219" i="9" s="1"/>
  <c r="H810" i="7"/>
  <c r="H809" i="7" s="1"/>
  <c r="D60" i="9"/>
  <c r="H753" i="7"/>
  <c r="H752" i="7" s="1"/>
  <c r="D753" i="9"/>
  <c r="D752" i="9" s="1"/>
  <c r="D751" i="9" s="1"/>
  <c r="D691" i="9"/>
  <c r="D690" i="9" s="1"/>
  <c r="D689" i="9" s="1"/>
  <c r="F552" i="7"/>
  <c r="F551" i="7" s="1"/>
  <c r="E198" i="9"/>
  <c r="E197" i="9" s="1"/>
  <c r="E196" i="9" s="1"/>
  <c r="E763" i="9"/>
  <c r="E762" i="9" s="1"/>
  <c r="E761" i="9" s="1"/>
  <c r="F496" i="9"/>
  <c r="F495" i="9" s="1"/>
  <c r="F494" i="9" s="1"/>
  <c r="F14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AE90" i="2" l="1"/>
  <c r="H857" i="7"/>
  <c r="J857" i="7"/>
  <c r="D678" i="9"/>
  <c r="D677" i="9" s="1"/>
  <c r="F544" i="7"/>
  <c r="F543" i="7" s="1"/>
  <c r="J735" i="7"/>
  <c r="J734" i="7" s="1"/>
  <c r="H735" i="7"/>
  <c r="H734" i="7" s="1"/>
  <c r="AF305" i="2"/>
  <c r="AE305" i="2"/>
  <c r="AD305" i="2"/>
  <c r="AD430" i="2"/>
  <c r="AF515" i="2"/>
  <c r="AE515" i="2"/>
  <c r="AD515" i="2"/>
  <c r="J744" i="7"/>
  <c r="J743" i="7" s="1"/>
  <c r="E218" i="9"/>
  <c r="E217" i="9" s="1"/>
  <c r="E211" i="9" s="1"/>
  <c r="AF485" i="2"/>
  <c r="AD402" i="2"/>
  <c r="AD401" i="2" s="1"/>
  <c r="H920" i="7"/>
  <c r="AE485" i="2"/>
  <c r="J652" i="7"/>
  <c r="J648" i="7" s="1"/>
  <c r="D217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85" i="2"/>
  <c r="F652" i="7"/>
  <c r="D269" i="9"/>
  <c r="D268" i="9" s="1"/>
  <c r="D267" i="9" s="1"/>
  <c r="D266" i="9" s="1"/>
  <c r="H543" i="7"/>
  <c r="J543" i="7"/>
  <c r="J134" i="7"/>
  <c r="J133" i="7" s="1"/>
  <c r="E536" i="9"/>
  <c r="F444" i="9"/>
  <c r="F443" i="9" s="1"/>
  <c r="D182" i="9"/>
  <c r="D181" i="9" s="1"/>
  <c r="D172" i="9" s="1"/>
  <c r="F490" i="7"/>
  <c r="D662" i="9"/>
  <c r="D652" i="9" s="1"/>
  <c r="D651" i="9" s="1"/>
  <c r="F134" i="7"/>
  <c r="F133" i="7" s="1"/>
  <c r="E301" i="9"/>
  <c r="E294" i="9" s="1"/>
  <c r="H673" i="7"/>
  <c r="J673" i="7"/>
  <c r="F673" i="7"/>
  <c r="E444" i="9"/>
  <c r="E443" i="9" s="1"/>
  <c r="F189" i="7"/>
  <c r="F536" i="9"/>
  <c r="F530" i="9" s="1"/>
  <c r="F144" i="7"/>
  <c r="F143" i="7" s="1"/>
  <c r="J624" i="7"/>
  <c r="J623" i="7" s="1"/>
  <c r="H624" i="7"/>
  <c r="H623" i="7" s="1"/>
  <c r="J331" i="7"/>
  <c r="J330" i="7" s="1"/>
  <c r="J329" i="7" s="1"/>
  <c r="J328" i="7" s="1"/>
  <c r="J320" i="7" s="1"/>
  <c r="F30" i="10" s="1"/>
  <c r="E594" i="9"/>
  <c r="E593" i="9" s="1"/>
  <c r="E592" i="9" s="1"/>
  <c r="I647" i="7"/>
  <c r="I646" i="7" s="1"/>
  <c r="I645" i="7" s="1"/>
  <c r="K647" i="7"/>
  <c r="K646" i="7" s="1"/>
  <c r="K645" i="7" s="1"/>
  <c r="G647" i="7"/>
  <c r="G646" i="7" s="1"/>
  <c r="G645" i="7" s="1"/>
  <c r="H716" i="7"/>
  <c r="J716" i="7"/>
  <c r="D591" i="9"/>
  <c r="F859" i="7"/>
  <c r="F858" i="7" s="1"/>
  <c r="F857" i="7" s="1"/>
  <c r="H843" i="7"/>
  <c r="H842" i="7" s="1"/>
  <c r="H827" i="7" s="1"/>
  <c r="F624" i="7"/>
  <c r="F623" i="7" s="1"/>
  <c r="F716" i="7"/>
  <c r="AF36" i="2"/>
  <c r="AF35" i="2" s="1"/>
  <c r="AF21" i="2" s="1"/>
  <c r="F250" i="9"/>
  <c r="F249" i="9" s="1"/>
  <c r="F248" i="9" s="1"/>
  <c r="E250" i="9"/>
  <c r="E249" i="9" s="1"/>
  <c r="E248" i="9" s="1"/>
  <c r="J957" i="7"/>
  <c r="J956" i="7" s="1"/>
  <c r="J955" i="7" s="1"/>
  <c r="J954" i="7" s="1"/>
  <c r="J953" i="7" s="1"/>
  <c r="G622" i="7"/>
  <c r="G621" i="7" s="1"/>
  <c r="I622" i="7"/>
  <c r="I621" i="7" s="1"/>
  <c r="K622" i="7"/>
  <c r="K621" i="7" s="1"/>
  <c r="F336" i="7"/>
  <c r="F335" i="7" s="1"/>
  <c r="F173" i="9"/>
  <c r="D44" i="9"/>
  <c r="D43" i="9" s="1"/>
  <c r="D42" i="9" s="1"/>
  <c r="D35" i="9" s="1"/>
  <c r="D34" i="9" s="1"/>
  <c r="AE230" i="2"/>
  <c r="F366" i="9"/>
  <c r="F365" i="9" s="1"/>
  <c r="F939" i="7"/>
  <c r="F938" i="7" s="1"/>
  <c r="D366" i="9"/>
  <c r="D365" i="9" s="1"/>
  <c r="D356" i="9" s="1"/>
  <c r="J939" i="7"/>
  <c r="J938" i="7" s="1"/>
  <c r="G939" i="7"/>
  <c r="G938" i="7" s="1"/>
  <c r="G929" i="7" s="1"/>
  <c r="F241" i="7"/>
  <c r="F240" i="7" s="1"/>
  <c r="F239" i="7" s="1"/>
  <c r="D25" i="10" s="1"/>
  <c r="D294" i="9"/>
  <c r="J92" i="7"/>
  <c r="J91" i="7" s="1"/>
  <c r="J90" i="7" s="1"/>
  <c r="J89" i="7" s="1"/>
  <c r="H92" i="7"/>
  <c r="H91" i="7" s="1"/>
  <c r="H90" i="7" s="1"/>
  <c r="H89" i="7" s="1"/>
  <c r="I826" i="7"/>
  <c r="I825" i="7" s="1"/>
  <c r="H241" i="7"/>
  <c r="H240" i="7" s="1"/>
  <c r="H239" i="7" s="1"/>
  <c r="E25" i="10" s="1"/>
  <c r="F743" i="7"/>
  <c r="H517" i="7"/>
  <c r="J486" i="7"/>
  <c r="J485" i="7" s="1"/>
  <c r="J484" i="7" s="1"/>
  <c r="H486" i="7"/>
  <c r="H485" i="7" s="1"/>
  <c r="H484" i="7" s="1"/>
  <c r="F486" i="7"/>
  <c r="J517" i="7"/>
  <c r="E19" i="10"/>
  <c r="AE21" i="2"/>
  <c r="AD21" i="2"/>
  <c r="F351" i="9"/>
  <c r="F350" i="9" s="1"/>
  <c r="F349" i="9" s="1"/>
  <c r="F283" i="7"/>
  <c r="F282" i="7" s="1"/>
  <c r="F281" i="7" s="1"/>
  <c r="E351" i="9"/>
  <c r="E350" i="9" s="1"/>
  <c r="E349" i="9" s="1"/>
  <c r="J283" i="7"/>
  <c r="J282" i="7" s="1"/>
  <c r="J281" i="7" s="1"/>
  <c r="D351" i="9"/>
  <c r="D350" i="9" s="1"/>
  <c r="D349" i="9" s="1"/>
  <c r="F294" i="9"/>
  <c r="H743" i="7"/>
  <c r="J126" i="7"/>
  <c r="J125" i="7" s="1"/>
  <c r="F19" i="10" s="1"/>
  <c r="E531" i="9"/>
  <c r="F184" i="7"/>
  <c r="J977" i="7"/>
  <c r="J980" i="7"/>
  <c r="J979" i="7" s="1"/>
  <c r="J978" i="7"/>
  <c r="H977" i="7"/>
  <c r="H978" i="7"/>
  <c r="H980" i="7"/>
  <c r="H979" i="7" s="1"/>
  <c r="K929" i="7"/>
  <c r="F272" i="9"/>
  <c r="I314" i="7"/>
  <c r="I313" i="7" s="1"/>
  <c r="I312" i="7" s="1"/>
  <c r="I311" i="7" s="1"/>
  <c r="I310" i="7" s="1"/>
  <c r="G314" i="7"/>
  <c r="G313" i="7" s="1"/>
  <c r="G312" i="7" s="1"/>
  <c r="G311" i="7" s="1"/>
  <c r="G310" i="7" s="1"/>
  <c r="F314" i="7"/>
  <c r="F313" i="7" s="1"/>
  <c r="F312" i="7" s="1"/>
  <c r="F311" i="7" s="1"/>
  <c r="D29" i="10" s="1"/>
  <c r="F582" i="9"/>
  <c r="E622" i="9"/>
  <c r="E621" i="9" s="1"/>
  <c r="I397" i="7"/>
  <c r="K397" i="7"/>
  <c r="D551" i="9"/>
  <c r="AF379" i="2"/>
  <c r="AE379" i="2"/>
  <c r="AD379" i="2"/>
  <c r="J83" i="7"/>
  <c r="J82" i="7" s="1"/>
  <c r="F555" i="9"/>
  <c r="F554" i="9" s="1"/>
  <c r="F553" i="9" s="1"/>
  <c r="F552" i="9" s="1"/>
  <c r="F551" i="9" s="1"/>
  <c r="AD175" i="2"/>
  <c r="AD174" i="2" s="1"/>
  <c r="AE445" i="2"/>
  <c r="AE444" i="2" s="1"/>
  <c r="AE414" i="2" s="1"/>
  <c r="AF445" i="2"/>
  <c r="AF444" i="2" s="1"/>
  <c r="AF414" i="2" s="1"/>
  <c r="K227" i="7"/>
  <c r="K226" i="7" s="1"/>
  <c r="K225" i="7" s="1"/>
  <c r="K224" i="7" s="1"/>
  <c r="K223" i="7" s="1"/>
  <c r="J227" i="7"/>
  <c r="J226" i="7" s="1"/>
  <c r="J225" i="7" s="1"/>
  <c r="J224" i="7" s="1"/>
  <c r="J223" i="7" s="1"/>
  <c r="E583" i="9"/>
  <c r="E582" i="9" s="1"/>
  <c r="H227" i="7"/>
  <c r="H226" i="7" s="1"/>
  <c r="H225" i="7" s="1"/>
  <c r="H224" i="7" s="1"/>
  <c r="F227" i="7"/>
  <c r="F226" i="7" s="1"/>
  <c r="F225" i="7" s="1"/>
  <c r="F224" i="7" s="1"/>
  <c r="G227" i="7"/>
  <c r="G226" i="7" s="1"/>
  <c r="G225" i="7" s="1"/>
  <c r="G224" i="7" s="1"/>
  <c r="G223" i="7" s="1"/>
  <c r="D583" i="9"/>
  <c r="D582" i="9" s="1"/>
  <c r="AD215" i="2"/>
  <c r="AD214" i="2" s="1"/>
  <c r="AF215" i="2"/>
  <c r="AF214" i="2" s="1"/>
  <c r="AF175" i="2"/>
  <c r="AF174" i="2" s="1"/>
  <c r="AE175" i="2"/>
  <c r="AE174" i="2" s="1"/>
  <c r="H261" i="7"/>
  <c r="J240" i="7"/>
  <c r="J239" i="7" s="1"/>
  <c r="F25" i="10" s="1"/>
  <c r="D530" i="9"/>
  <c r="J183" i="7"/>
  <c r="J161" i="7" s="1"/>
  <c r="H183" i="7"/>
  <c r="H161" i="7" s="1"/>
  <c r="F189" i="9"/>
  <c r="F188" i="9" s="1"/>
  <c r="F187" i="9" s="1"/>
  <c r="E189" i="9"/>
  <c r="E188" i="9" s="1"/>
  <c r="E187" i="9" s="1"/>
  <c r="F54" i="10"/>
  <c r="D747" i="9"/>
  <c r="F497" i="9"/>
  <c r="E497" i="9"/>
  <c r="E290" i="9"/>
  <c r="F290" i="9"/>
  <c r="D290" i="9"/>
  <c r="H268" i="7"/>
  <c r="H267" i="7" s="1"/>
  <c r="F268" i="7"/>
  <c r="F267" i="7" s="1"/>
  <c r="AF406" i="2"/>
  <c r="AF402" i="2" s="1"/>
  <c r="AF401" i="2" s="1"/>
  <c r="AF399" i="2" s="1"/>
  <c r="AE406" i="2"/>
  <c r="AE402" i="2" s="1"/>
  <c r="AE401" i="2" s="1"/>
  <c r="K801" i="7"/>
  <c r="K800" i="7" s="1"/>
  <c r="K781" i="7" s="1"/>
  <c r="D497" i="9"/>
  <c r="G801" i="7"/>
  <c r="G800" i="7" s="1"/>
  <c r="G781" i="7" s="1"/>
  <c r="I801" i="7"/>
  <c r="I800" i="7" s="1"/>
  <c r="I781" i="7" s="1"/>
  <c r="H107" i="7"/>
  <c r="H106" i="7" s="1"/>
  <c r="D483" i="9"/>
  <c r="H785" i="7"/>
  <c r="H784" i="7" s="1"/>
  <c r="H783" i="7" s="1"/>
  <c r="H782" i="7" s="1"/>
  <c r="K734" i="7"/>
  <c r="K733" i="7" s="1"/>
  <c r="K715" i="7" s="1"/>
  <c r="I734" i="7"/>
  <c r="G734" i="7"/>
  <c r="G733" i="7" s="1"/>
  <c r="G715" i="7" s="1"/>
  <c r="AF230" i="2"/>
  <c r="AD230" i="2"/>
  <c r="D447" i="9"/>
  <c r="D444" i="9" s="1"/>
  <c r="H368" i="7"/>
  <c r="H367" i="7" s="1"/>
  <c r="H366" i="7" s="1"/>
  <c r="E32" i="10" s="1"/>
  <c r="F368" i="7"/>
  <c r="F367" i="7" s="1"/>
  <c r="F366" i="7" s="1"/>
  <c r="D32" i="10" s="1"/>
  <c r="J368" i="7"/>
  <c r="J367" i="7" s="1"/>
  <c r="J366" i="7" s="1"/>
  <c r="F32" i="10" s="1"/>
  <c r="J258" i="7"/>
  <c r="J257" i="7" s="1"/>
  <c r="F258" i="7"/>
  <c r="F257" i="7" s="1"/>
  <c r="H258" i="7"/>
  <c r="H257" i="7" s="1"/>
  <c r="E335" i="9"/>
  <c r="J758" i="7"/>
  <c r="H201" i="7"/>
  <c r="H200" i="7" s="1"/>
  <c r="I201" i="7"/>
  <c r="I200" i="7" s="1"/>
  <c r="H817" i="7"/>
  <c r="H816" i="7" s="1"/>
  <c r="F590" i="7"/>
  <c r="F589" i="7" s="1"/>
  <c r="E728" i="9"/>
  <c r="E727" i="9" s="1"/>
  <c r="E726" i="9" s="1"/>
  <c r="G517" i="7"/>
  <c r="G516" i="7" s="1"/>
  <c r="G483" i="7" s="1"/>
  <c r="F593" i="9"/>
  <c r="F592" i="9" s="1"/>
  <c r="F125" i="7"/>
  <c r="E551" i="9"/>
  <c r="E51" i="9"/>
  <c r="E50" i="9" s="1"/>
  <c r="E49" i="9" s="1"/>
  <c r="F957" i="7"/>
  <c r="F956" i="7" s="1"/>
  <c r="F955" i="7" s="1"/>
  <c r="F954" i="7" s="1"/>
  <c r="E567" i="9"/>
  <c r="E566" i="9" s="1"/>
  <c r="H945" i="7"/>
  <c r="H944" i="7" s="1"/>
  <c r="H943" i="7" s="1"/>
  <c r="E57" i="10" s="1"/>
  <c r="F810" i="7"/>
  <c r="F809" i="7" s="1"/>
  <c r="E664" i="9"/>
  <c r="E663" i="9" s="1"/>
  <c r="E662" i="9" s="1"/>
  <c r="E652" i="9" s="1"/>
  <c r="J945" i="7"/>
  <c r="J944" i="7" s="1"/>
  <c r="J943" i="7" s="1"/>
  <c r="F57" i="10" s="1"/>
  <c r="F567" i="9"/>
  <c r="F566" i="9" s="1"/>
  <c r="J823" i="7"/>
  <c r="J822" i="7" s="1"/>
  <c r="J821" i="7" s="1"/>
  <c r="F64" i="7"/>
  <c r="F63" i="7" s="1"/>
  <c r="F62" i="7" s="1"/>
  <c r="F61" i="7" s="1"/>
  <c r="F47" i="7" s="1"/>
  <c r="F851" i="7"/>
  <c r="F850" i="7" s="1"/>
  <c r="F843" i="7" s="1"/>
  <c r="F842" i="7" s="1"/>
  <c r="F766" i="7"/>
  <c r="F335" i="9"/>
  <c r="E181" i="9"/>
  <c r="E172" i="9" s="1"/>
  <c r="J384" i="7"/>
  <c r="J383" i="7" s="1"/>
  <c r="J382" i="7" s="1"/>
  <c r="J381" i="7" s="1"/>
  <c r="F728" i="9"/>
  <c r="F727" i="9" s="1"/>
  <c r="F726" i="9" s="1"/>
  <c r="K51" i="7"/>
  <c r="K50" i="7" s="1"/>
  <c r="K49" i="7" s="1"/>
  <c r="K48" i="7" s="1"/>
  <c r="K47" i="7" s="1"/>
  <c r="H751" i="7"/>
  <c r="F224" i="9"/>
  <c r="F223" i="9" s="1"/>
  <c r="F218" i="9" s="1"/>
  <c r="F227" i="9"/>
  <c r="F226" i="9" s="1"/>
  <c r="F225" i="9" s="1"/>
  <c r="J817" i="7"/>
  <c r="J816" i="7" s="1"/>
  <c r="H936" i="7"/>
  <c r="H935" i="7" s="1"/>
  <c r="H931" i="7" s="1"/>
  <c r="E364" i="9"/>
  <c r="E363" i="9" s="1"/>
  <c r="E362" i="9" s="1"/>
  <c r="E358" i="9" s="1"/>
  <c r="H957" i="7"/>
  <c r="H956" i="7" s="1"/>
  <c r="E483" i="9"/>
  <c r="F673" i="9"/>
  <c r="F672" i="9" s="1"/>
  <c r="F671" i="9" s="1"/>
  <c r="F667" i="9" s="1"/>
  <c r="F150" i="7"/>
  <c r="F149" i="7" s="1"/>
  <c r="F529" i="7"/>
  <c r="F528" i="7" s="1"/>
  <c r="F518" i="7" s="1"/>
  <c r="F517" i="7" s="1"/>
  <c r="F384" i="7"/>
  <c r="F383" i="7" s="1"/>
  <c r="F382" i="7" s="1"/>
  <c r="F381" i="7" s="1"/>
  <c r="H590" i="7"/>
  <c r="H589" i="7" s="1"/>
  <c r="J150" i="7"/>
  <c r="J149" i="7" s="1"/>
  <c r="E33" i="10"/>
  <c r="F945" i="7"/>
  <c r="F944" i="7" s="1"/>
  <c r="F943" i="7" s="1"/>
  <c r="D57" i="10" s="1"/>
  <c r="E35" i="9"/>
  <c r="E34" i="9" s="1"/>
  <c r="F930" i="7"/>
  <c r="F330" i="7"/>
  <c r="F329" i="7" s="1"/>
  <c r="F328" i="7" s="1"/>
  <c r="F320" i="7" s="1"/>
  <c r="F751" i="7"/>
  <c r="D644" i="9"/>
  <c r="F785" i="7"/>
  <c r="F784" i="7" s="1"/>
  <c r="F783" i="7" s="1"/>
  <c r="F782" i="7" s="1"/>
  <c r="F104" i="9"/>
  <c r="F93" i="9" s="1"/>
  <c r="F92" i="9" s="1"/>
  <c r="I51" i="7"/>
  <c r="I50" i="7" s="1"/>
  <c r="I49" i="7" s="1"/>
  <c r="I48" i="7" s="1"/>
  <c r="I47" i="7" s="1"/>
  <c r="J785" i="7"/>
  <c r="J784" i="7" s="1"/>
  <c r="J783" i="7" s="1"/>
  <c r="J782" i="7" s="1"/>
  <c r="H648" i="7"/>
  <c r="G51" i="7"/>
  <c r="G50" i="7" s="1"/>
  <c r="G49" i="7" s="1"/>
  <c r="G48" i="7" s="1"/>
  <c r="G47" i="7" s="1"/>
  <c r="F297" i="7"/>
  <c r="F296" i="7" s="1"/>
  <c r="F92" i="7"/>
  <c r="F91" i="7" s="1"/>
  <c r="F90" i="7" s="1"/>
  <c r="H144" i="7"/>
  <c r="H143" i="7" s="1"/>
  <c r="F35" i="9"/>
  <c r="F34" i="9" s="1"/>
  <c r="F107" i="7"/>
  <c r="E104" i="9"/>
  <c r="E93" i="9" s="1"/>
  <c r="E92" i="9" s="1"/>
  <c r="E463" i="9"/>
  <c r="E462" i="9" s="1"/>
  <c r="J37" i="7"/>
  <c r="J30" i="7" s="1"/>
  <c r="J23" i="7" s="1"/>
  <c r="G144" i="7"/>
  <c r="G143" i="7" s="1"/>
  <c r="G132" i="7" s="1"/>
  <c r="G131" i="7" s="1"/>
  <c r="G130" i="7" s="1"/>
  <c r="J751" i="7"/>
  <c r="H133" i="7"/>
  <c r="H919" i="7"/>
  <c r="H918" i="7" s="1"/>
  <c r="H917" i="7" s="1"/>
  <c r="J900" i="7"/>
  <c r="D51" i="9"/>
  <c r="D50" i="9" s="1"/>
  <c r="D49" i="9" s="1"/>
  <c r="J51" i="7"/>
  <c r="J50" i="7" s="1"/>
  <c r="J49" i="7" s="1"/>
  <c r="J48" i="7" s="1"/>
  <c r="G925" i="7"/>
  <c r="E764" i="9"/>
  <c r="AE217" i="2"/>
  <c r="AE216" i="2" s="1"/>
  <c r="I144" i="7"/>
  <c r="I143" i="7" s="1"/>
  <c r="I132" i="7" s="1"/>
  <c r="I131" i="7" s="1"/>
  <c r="D463" i="9"/>
  <c r="D462" i="9" s="1"/>
  <c r="J590" i="7"/>
  <c r="J589" i="7" s="1"/>
  <c r="J106" i="7"/>
  <c r="F463" i="9"/>
  <c r="F462" i="9" s="1"/>
  <c r="H64" i="7"/>
  <c r="H63" i="7" s="1"/>
  <c r="H62" i="7" s="1"/>
  <c r="H61" i="7" s="1"/>
  <c r="F282" i="9"/>
  <c r="J144" i="7"/>
  <c r="J143" i="7" s="1"/>
  <c r="D104" i="9"/>
  <c r="D93" i="9" s="1"/>
  <c r="D92" i="9" s="1"/>
  <c r="F37" i="7"/>
  <c r="F30" i="7" s="1"/>
  <c r="F23" i="7" s="1"/>
  <c r="F764" i="9"/>
  <c r="F230" i="9"/>
  <c r="F229" i="9" s="1"/>
  <c r="F228" i="9" s="1"/>
  <c r="D230" i="9"/>
  <c r="D229" i="9" s="1"/>
  <c r="D228" i="9" s="1"/>
  <c r="E754" i="9"/>
  <c r="E230" i="9"/>
  <c r="E229" i="9" s="1"/>
  <c r="E228" i="9" s="1"/>
  <c r="J64" i="7"/>
  <c r="J63" i="7" s="1"/>
  <c r="J62" i="7" s="1"/>
  <c r="J61" i="7" s="1"/>
  <c r="F181" i="9"/>
  <c r="J261" i="7"/>
  <c r="J297" i="7"/>
  <c r="J296" i="7" s="1"/>
  <c r="H51" i="7"/>
  <c r="H50" i="7" s="1"/>
  <c r="H49" i="7" s="1"/>
  <c r="H48" i="7" s="1"/>
  <c r="F51" i="9"/>
  <c r="F50" i="9" s="1"/>
  <c r="F49" i="9" s="1"/>
  <c r="F261" i="7"/>
  <c r="H30" i="7"/>
  <c r="H23" i="7" s="1"/>
  <c r="E272" i="9"/>
  <c r="K144" i="7"/>
  <c r="K143" i="7" s="1"/>
  <c r="K132" i="7" s="1"/>
  <c r="K131" i="7" s="1"/>
  <c r="K130" i="7" s="1"/>
  <c r="F483" i="9"/>
  <c r="F899" i="7"/>
  <c r="F898" i="7" s="1"/>
  <c r="F900" i="7"/>
  <c r="I925" i="7"/>
  <c r="E30" i="10"/>
  <c r="F754" i="9"/>
  <c r="F457" i="9"/>
  <c r="F456" i="9" s="1"/>
  <c r="F458" i="9"/>
  <c r="E457" i="9"/>
  <c r="E456" i="9" s="1"/>
  <c r="E458" i="9"/>
  <c r="D457" i="9"/>
  <c r="D456" i="9" s="1"/>
  <c r="D458" i="9"/>
  <c r="J936" i="7"/>
  <c r="J935" i="7" s="1"/>
  <c r="J931" i="7" s="1"/>
  <c r="F364" i="9"/>
  <c r="F363" i="9" s="1"/>
  <c r="F362" i="9" s="1"/>
  <c r="F358" i="9" s="1"/>
  <c r="E14" i="10"/>
  <c r="D14" i="10"/>
  <c r="F827" i="7" l="1"/>
  <c r="D19" i="9"/>
  <c r="J827" i="7"/>
  <c r="J826" i="7" s="1"/>
  <c r="AD429" i="2"/>
  <c r="D550" i="9"/>
  <c r="E550" i="9"/>
  <c r="F550" i="9"/>
  <c r="AD400" i="2"/>
  <c r="AD399" i="2"/>
  <c r="AD360" i="2" s="1"/>
  <c r="D211" i="9"/>
  <c r="D210" i="9" s="1"/>
  <c r="D204" i="9" s="1"/>
  <c r="F808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69" i="9"/>
  <c r="F268" i="9" s="1"/>
  <c r="F267" i="9" s="1"/>
  <c r="F266" i="9" s="1"/>
  <c r="E269" i="9"/>
  <c r="E268" i="9" s="1"/>
  <c r="E267" i="9" s="1"/>
  <c r="E266" i="9" s="1"/>
  <c r="H647" i="7"/>
  <c r="H646" i="7" s="1"/>
  <c r="H645" i="7" s="1"/>
  <c r="D479" i="9"/>
  <c r="D478" i="9" s="1"/>
  <c r="F479" i="9"/>
  <c r="F478" i="9" s="1"/>
  <c r="J647" i="7"/>
  <c r="E591" i="9"/>
  <c r="H826" i="7"/>
  <c r="E50" i="10" s="1"/>
  <c r="E49" i="10" s="1"/>
  <c r="E91" i="9"/>
  <c r="F648" i="7"/>
  <c r="F647" i="7" s="1"/>
  <c r="D91" i="9"/>
  <c r="F591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955" i="7"/>
  <c r="J516" i="7"/>
  <c r="J483" i="7" s="1"/>
  <c r="H516" i="7"/>
  <c r="H483" i="7" s="1"/>
  <c r="D443" i="9"/>
  <c r="D442" i="9" s="1"/>
  <c r="F485" i="7"/>
  <c r="F484" i="7" s="1"/>
  <c r="AE413" i="2"/>
  <c r="J47" i="7"/>
  <c r="F16" i="10" s="1"/>
  <c r="H47" i="7"/>
  <c r="E16" i="10" s="1"/>
  <c r="H88" i="7"/>
  <c r="E17" i="10" s="1"/>
  <c r="J88" i="7"/>
  <c r="F17" i="10" s="1"/>
  <c r="H256" i="7"/>
  <c r="H255" i="7" s="1"/>
  <c r="H254" i="7" s="1"/>
  <c r="F256" i="7"/>
  <c r="J256" i="7"/>
  <c r="J255" i="7" s="1"/>
  <c r="J254" i="7" s="1"/>
  <c r="F19" i="9"/>
  <c r="F826" i="7"/>
  <c r="E19" i="9"/>
  <c r="F172" i="9"/>
  <c r="E651" i="9"/>
  <c r="AF413" i="2"/>
  <c r="AF360" i="2"/>
  <c r="J757" i="7"/>
  <c r="F47" i="10" s="1"/>
  <c r="H757" i="7"/>
  <c r="E47" i="10" s="1"/>
  <c r="H976" i="7"/>
  <c r="H975" i="7"/>
  <c r="I130" i="7"/>
  <c r="J976" i="7"/>
  <c r="J975" i="7"/>
  <c r="F89" i="7"/>
  <c r="I929" i="7"/>
  <c r="F929" i="7"/>
  <c r="F916" i="7" s="1"/>
  <c r="F897" i="7" s="1"/>
  <c r="K15" i="7"/>
  <c r="F953" i="7"/>
  <c r="F622" i="7"/>
  <c r="F621" i="7" s="1"/>
  <c r="J622" i="7"/>
  <c r="J621" i="7" s="1"/>
  <c r="H622" i="7"/>
  <c r="H621" i="7" s="1"/>
  <c r="D19" i="10"/>
  <c r="D15" i="10"/>
  <c r="E15" i="10"/>
  <c r="D281" i="9"/>
  <c r="D280" i="9" s="1"/>
  <c r="F281" i="9"/>
  <c r="F280" i="9" s="1"/>
  <c r="D650" i="9"/>
  <c r="F651" i="9"/>
  <c r="F765" i="7"/>
  <c r="G15" i="7"/>
  <c r="F622" i="9"/>
  <c r="F621" i="9" s="1"/>
  <c r="F820" i="7"/>
  <c r="F819" i="7" s="1"/>
  <c r="H820" i="7"/>
  <c r="H819" i="7" s="1"/>
  <c r="J820" i="7"/>
  <c r="J819" i="7" s="1"/>
  <c r="F295" i="7"/>
  <c r="F294" i="7" s="1"/>
  <c r="J295" i="7"/>
  <c r="H223" i="7"/>
  <c r="E22" i="10"/>
  <c r="E21" i="10" s="1"/>
  <c r="D22" i="10"/>
  <c r="D21" i="10" s="1"/>
  <c r="F223" i="7"/>
  <c r="F22" i="10"/>
  <c r="F21" i="10" s="1"/>
  <c r="AE215" i="2"/>
  <c r="H160" i="7"/>
  <c r="J160" i="7"/>
  <c r="AF158" i="2"/>
  <c r="K916" i="7"/>
  <c r="K897" i="7" s="1"/>
  <c r="E530" i="9"/>
  <c r="E479" i="9" s="1"/>
  <c r="F183" i="7"/>
  <c r="F161" i="7" s="1"/>
  <c r="F160" i="7" s="1"/>
  <c r="F742" i="7"/>
  <c r="F733" i="7" s="1"/>
  <c r="F715" i="7" s="1"/>
  <c r="J742" i="7"/>
  <c r="J733" i="7" s="1"/>
  <c r="J715" i="7" s="1"/>
  <c r="H742" i="7"/>
  <c r="H733" i="7" s="1"/>
  <c r="H715" i="7" s="1"/>
  <c r="D54" i="10"/>
  <c r="F747" i="9"/>
  <c r="E747" i="9"/>
  <c r="AF400" i="2"/>
  <c r="AE400" i="2"/>
  <c r="AE399" i="2"/>
  <c r="AE360" i="2" s="1"/>
  <c r="I733" i="7"/>
  <c r="I715" i="7" s="1"/>
  <c r="E210" i="9"/>
  <c r="E204" i="9" s="1"/>
  <c r="J588" i="7"/>
  <c r="J580" i="7" s="1"/>
  <c r="J573" i="7" s="1"/>
  <c r="H588" i="7"/>
  <c r="H580" i="7" s="1"/>
  <c r="H573" i="7" s="1"/>
  <c r="F588" i="7"/>
  <c r="D30" i="10"/>
  <c r="F357" i="9"/>
  <c r="F356" i="9" s="1"/>
  <c r="E357" i="9"/>
  <c r="E356" i="9" s="1"/>
  <c r="J930" i="7"/>
  <c r="J929" i="7" s="1"/>
  <c r="J916" i="7" s="1"/>
  <c r="H930" i="7"/>
  <c r="H929" i="7" s="1"/>
  <c r="H335" i="7"/>
  <c r="D622" i="9"/>
  <c r="D621" i="9" s="1"/>
  <c r="D33" i="10"/>
  <c r="H808" i="7"/>
  <c r="H802" i="7" s="1"/>
  <c r="AD158" i="2"/>
  <c r="E442" i="9"/>
  <c r="F442" i="9"/>
  <c r="D62" i="10"/>
  <c r="D61" i="10" s="1"/>
  <c r="H132" i="7"/>
  <c r="F132" i="7"/>
  <c r="F217" i="9"/>
  <c r="F211" i="9" s="1"/>
  <c r="J808" i="7"/>
  <c r="J802" i="7" s="1"/>
  <c r="J132" i="7"/>
  <c r="H297" i="7"/>
  <c r="H296" i="7" s="1"/>
  <c r="E282" i="9"/>
  <c r="F106" i="7"/>
  <c r="F59" i="10"/>
  <c r="F58" i="10" s="1"/>
  <c r="H954" i="7" l="1"/>
  <c r="H953" i="7" s="1"/>
  <c r="F131" i="7"/>
  <c r="F130" i="7" s="1"/>
  <c r="AD414" i="2"/>
  <c r="AD413" i="2" s="1"/>
  <c r="AD412" i="2" s="1"/>
  <c r="F802" i="7"/>
  <c r="F801" i="7" s="1"/>
  <c r="F800" i="7" s="1"/>
  <c r="F781" i="7" s="1"/>
  <c r="I916" i="7"/>
  <c r="I897" i="7" s="1"/>
  <c r="AE214" i="2"/>
  <c r="AE158" i="2" s="1"/>
  <c r="J294" i="7"/>
  <c r="F27" i="10" s="1"/>
  <c r="F764" i="7"/>
  <c r="F757" i="7" s="1"/>
  <c r="D47" i="10" s="1"/>
  <c r="F91" i="9"/>
  <c r="J801" i="7"/>
  <c r="J800" i="7" s="1"/>
  <c r="J781" i="7" s="1"/>
  <c r="H801" i="7"/>
  <c r="H800" i="7" s="1"/>
  <c r="H781" i="7" s="1"/>
  <c r="AD13" i="2"/>
  <c r="F255" i="7"/>
  <c r="F254" i="7" s="1"/>
  <c r="D27" i="10"/>
  <c r="F516" i="7"/>
  <c r="F88" i="7"/>
  <c r="D17" i="10" s="1"/>
  <c r="F646" i="7"/>
  <c r="F645" i="7" s="1"/>
  <c r="AF412" i="2"/>
  <c r="G397" i="7"/>
  <c r="G620" i="7"/>
  <c r="K620" i="7"/>
  <c r="E478" i="9"/>
  <c r="E441" i="9" s="1"/>
  <c r="J825" i="7"/>
  <c r="I15" i="7"/>
  <c r="AE412" i="2"/>
  <c r="E26" i="10"/>
  <c r="E281" i="9"/>
  <c r="E280" i="9" s="1"/>
  <c r="D35" i="10"/>
  <c r="H295" i="7"/>
  <c r="H294" i="7" s="1"/>
  <c r="J131" i="7"/>
  <c r="J130" i="7" s="1"/>
  <c r="H131" i="7"/>
  <c r="H130" i="7" s="1"/>
  <c r="H15" i="7" s="1"/>
  <c r="H916" i="7"/>
  <c r="H897" i="7" s="1"/>
  <c r="J897" i="7"/>
  <c r="F580" i="7"/>
  <c r="F573" i="7" s="1"/>
  <c r="F825" i="7"/>
  <c r="D441" i="9"/>
  <c r="D746" i="9" s="1"/>
  <c r="F441" i="9"/>
  <c r="E46" i="10"/>
  <c r="AF285" i="2"/>
  <c r="AF284" i="2" s="1"/>
  <c r="AE285" i="2"/>
  <c r="AE284" i="2" s="1"/>
  <c r="AD285" i="2"/>
  <c r="AD284" i="2" s="1"/>
  <c r="D56" i="10"/>
  <c r="D53" i="10" s="1"/>
  <c r="F56" i="10"/>
  <c r="F53" i="10" s="1"/>
  <c r="F15" i="10"/>
  <c r="F44" i="10"/>
  <c r="E44" i="10"/>
  <c r="I620" i="7"/>
  <c r="F210" i="9"/>
  <c r="F204" i="9" s="1"/>
  <c r="E38" i="10"/>
  <c r="D16" i="10"/>
  <c r="D44" i="10"/>
  <c r="F38" i="10"/>
  <c r="E31" i="10"/>
  <c r="E28" i="10" s="1"/>
  <c r="H310" i="7"/>
  <c r="E59" i="10"/>
  <c r="E58" i="10" s="1"/>
  <c r="D31" i="10"/>
  <c r="D28" i="10" s="1"/>
  <c r="D46" i="10"/>
  <c r="F46" i="10"/>
  <c r="F33" i="10"/>
  <c r="H825" i="7"/>
  <c r="F483" i="7" l="1"/>
  <c r="D37" i="10" s="1"/>
  <c r="I983" i="7"/>
  <c r="AF12" i="2"/>
  <c r="AE12" i="2"/>
  <c r="G983" i="7"/>
  <c r="AD12" i="2"/>
  <c r="AD1125" i="2" s="1"/>
  <c r="D48" i="10"/>
  <c r="F238" i="7"/>
  <c r="D26" i="10"/>
  <c r="D24" i="10" s="1"/>
  <c r="J646" i="7"/>
  <c r="J645" i="7" s="1"/>
  <c r="E45" i="10"/>
  <c r="F50" i="10"/>
  <c r="F49" i="10" s="1"/>
  <c r="D38" i="10"/>
  <c r="F48" i="10"/>
  <c r="AF905" i="2"/>
  <c r="AF904" i="2" s="1"/>
  <c r="J365" i="7"/>
  <c r="J364" i="7" s="1"/>
  <c r="E56" i="10"/>
  <c r="E53" i="10" s="1"/>
  <c r="E27" i="10"/>
  <c r="E24" i="10" s="1"/>
  <c r="H238" i="7"/>
  <c r="D50" i="10"/>
  <c r="D49" i="10" s="1"/>
  <c r="F620" i="7"/>
  <c r="D800" i="9"/>
  <c r="E48" i="10"/>
  <c r="D59" i="10"/>
  <c r="D58" i="10" s="1"/>
  <c r="J238" i="7"/>
  <c r="F26" i="10"/>
  <c r="F24" i="10" s="1"/>
  <c r="F310" i="7"/>
  <c r="D45" i="10"/>
  <c r="AF903" i="2" l="1"/>
  <c r="AF902" i="2" s="1"/>
  <c r="AF901" i="2" s="1"/>
  <c r="D43" i="10"/>
  <c r="F45" i="10"/>
  <c r="F43" i="10" s="1"/>
  <c r="J363" i="7"/>
  <c r="H620" i="7"/>
  <c r="E43" i="10"/>
  <c r="E20" i="10"/>
  <c r="E13" i="10" s="1"/>
  <c r="D20" i="10"/>
  <c r="D13" i="10" s="1"/>
  <c r="F15" i="7"/>
  <c r="F20" i="10"/>
  <c r="F13" i="10" s="1"/>
  <c r="J15" i="7"/>
  <c r="F703" i="9"/>
  <c r="E35" i="10"/>
  <c r="F35" i="10"/>
  <c r="E702" i="9"/>
  <c r="E701" i="9" s="1"/>
  <c r="E678" i="9" s="1"/>
  <c r="E677" i="9" l="1"/>
  <c r="E650" i="9" s="1"/>
  <c r="J362" i="7"/>
  <c r="J361" i="7" s="1"/>
  <c r="J360" i="7" s="1"/>
  <c r="J335" i="7" s="1"/>
  <c r="AF881" i="2"/>
  <c r="AF871" i="2" s="1"/>
  <c r="J620" i="7"/>
  <c r="AE972" i="2"/>
  <c r="AE971" i="2" s="1"/>
  <c r="AE907" i="2" s="1"/>
  <c r="F702" i="9"/>
  <c r="F701" i="9" s="1"/>
  <c r="F678" i="9" s="1"/>
  <c r="F677" i="9" l="1"/>
  <c r="F650" i="9" s="1"/>
  <c r="AE857" i="2"/>
  <c r="AE1125" i="2" s="1"/>
  <c r="F36" i="10"/>
  <c r="E36" i="10"/>
  <c r="F397" i="7"/>
  <c r="F983" i="7" s="1"/>
  <c r="D36" i="10"/>
  <c r="D34" i="10" s="1"/>
  <c r="D63" i="10" s="1"/>
  <c r="F31" i="10"/>
  <c r="F28" i="10" s="1"/>
  <c r="J310" i="7"/>
  <c r="AF972" i="2"/>
  <c r="AF971" i="2" s="1"/>
  <c r="AF907" i="2" s="1"/>
  <c r="E37" i="10"/>
  <c r="H397" i="7"/>
  <c r="H983" i="7" s="1"/>
  <c r="E746" i="9" l="1"/>
  <c r="E800" i="9" s="1"/>
  <c r="AF857" i="2"/>
  <c r="AF1125" i="2" s="1"/>
  <c r="E34" i="10"/>
  <c r="E63" i="10" s="1"/>
  <c r="J397" i="7"/>
  <c r="J983" i="7" s="1"/>
  <c r="F37" i="10"/>
  <c r="F34" i="10" s="1"/>
  <c r="F63" i="10" s="1"/>
  <c r="F746" i="9" l="1"/>
  <c r="F800" i="9" s="1"/>
  <c r="K314" i="7"/>
  <c r="K313" i="7" s="1"/>
  <c r="K312" i="7" s="1"/>
  <c r="K311" i="7" s="1"/>
  <c r="K310" i="7" s="1"/>
  <c r="K983" i="7" s="1"/>
</calcChain>
</file>

<file path=xl/sharedStrings.xml><?xml version="1.0" encoding="utf-8"?>
<sst xmlns="http://schemas.openxmlformats.org/spreadsheetml/2006/main" count="10668" uniqueCount="906">
  <si>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</si>
  <si>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</si>
  <si>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</si>
  <si>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</si>
  <si>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</si>
  <si>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</si>
  <si>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</si>
  <si>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</si>
  <si>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</si>
  <si>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</si>
  <si>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</si>
  <si>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</si>
  <si>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</si>
  <si>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</si>
  <si>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</si>
  <si>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</si>
  <si>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</si>
  <si>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</si>
  <si>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</si>
  <si>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</si>
  <si>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</si>
  <si>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</si>
  <si>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</si>
  <si>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</si>
  <si>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</si>
  <si>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</si>
  <si>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</si>
  <si>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</si>
  <si>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</si>
  <si>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</si>
  <si>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</si>
  <si>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</si>
  <si>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</si>
  <si>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</si>
  <si>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</si>
  <si>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</si>
  <si>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</si>
  <si>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</si>
  <si>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</si>
  <si>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</si>
  <si>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</si>
  <si>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</si>
  <si>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</si>
  <si>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</si>
  <si>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</si>
  <si>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</si>
  <si>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</si>
  <si>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</si>
  <si>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</si>
  <si>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</si>
  <si>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</si>
  <si>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</si>
  <si>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</si>
  <si>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</si>
  <si>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</si>
  <si>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</si>
  <si>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</si>
  <si>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</si>
  <si>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</si>
  <si>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</si>
  <si>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</si>
  <si>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</si>
  <si>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</si>
  <si>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</si>
  <si>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</si>
  <si>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</si>
  <si>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</si>
  <si>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</si>
  <si>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</si>
  <si>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</si>
  <si>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</si>
  <si>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</si>
  <si>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</si>
  <si>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</si>
  <si>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</si>
  <si>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</si>
  <si>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</si>
  <si>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</si>
  <si>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</si>
  <si>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</si>
  <si>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</si>
  <si>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</si>
  <si>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</si>
  <si>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</si>
  <si>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</si>
  <si>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</si>
  <si>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</si>
  <si>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</si>
  <si>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</si>
  <si>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</si>
  <si>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</si>
  <si>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</si>
  <si>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</si>
  <si>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</si>
  <si>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</si>
  <si>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</si>
  <si>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</si>
  <si>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</si>
  <si>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</si>
  <si>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</si>
  <si>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</si>
  <si>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</si>
  <si>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</si>
  <si>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</si>
  <si>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</si>
  <si>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</si>
  <si>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</si>
  <si>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</si>
  <si>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</si>
  <si>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</si>
  <si>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</si>
  <si>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</si>
  <si>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</si>
  <si>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</si>
  <si>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</si>
  <si>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</si>
  <si>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</si>
  <si>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</si>
  <si>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</si>
  <si>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</si>
  <si>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</si>
  <si>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</si>
  <si>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</si>
  <si>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</si>
  <si>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</si>
  <si>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</si>
  <si>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</si>
  <si>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</si>
  <si>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</si>
  <si>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</si>
  <si>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</si>
  <si>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</si>
  <si>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</si>
  <si>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</si>
  <si>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</si>
  <si>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</si>
  <si>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</si>
  <si>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</si>
  <si>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</si>
  <si>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</si>
  <si>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</si>
  <si>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</si>
  <si>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</si>
  <si>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</si>
  <si>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</si>
  <si>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</si>
  <si>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</si>
  <si>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</si>
  <si>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</si>
  <si>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</si>
  <si>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</si>
  <si>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</si>
  <si>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</si>
  <si>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</si>
  <si>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</si>
  <si>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</si>
  <si>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</si>
  <si>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</si>
  <si>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</si>
  <si>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</si>
  <si>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</si>
  <si>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</si>
  <si>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</si>
  <si>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</si>
  <si>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</si>
  <si>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</si>
  <si>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</si>
  <si>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</si>
  <si>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</si>
  <si>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</si>
  <si>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</si>
  <si>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</si>
  <si>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</si>
  <si>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</si>
  <si>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</si>
  <si>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</si>
  <si>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</si>
  <si>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</si>
  <si>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</si>
  <si>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</si>
  <si>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</si>
  <si>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</si>
  <si>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</si>
  <si>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</si>
  <si>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</si>
  <si>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</si>
  <si>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</si>
  <si>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</si>
  <si>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</si>
  <si>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</si>
  <si>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</si>
  <si>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</si>
  <si>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</si>
  <si>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</si>
  <si>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</si>
  <si>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</si>
  <si>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</si>
  <si>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</si>
  <si>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</si>
  <si>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</si>
  <si>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</si>
  <si>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</si>
  <si>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</si>
  <si>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</si>
  <si>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</si>
  <si>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</si>
  <si>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</si>
  <si>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</si>
  <si>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</si>
  <si>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</si>
  <si>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</si>
  <si>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</si>
  <si>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</si>
  <si>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</si>
  <si>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</si>
  <si>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</si>
  <si>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</si>
  <si>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</si>
  <si>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</si>
  <si>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</si>
  <si>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</si>
  <si>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</si>
  <si>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</si>
  <si>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</si>
  <si>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</si>
  <si>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</si>
  <si>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</si>
  <si>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</si>
  <si>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</si>
  <si>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</si>
  <si>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</si>
  <si>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</si>
  <si>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</si>
  <si>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</si>
  <si>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</si>
  <si>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</si>
  <si>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</si>
  <si>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</si>
  <si>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</si>
  <si>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</si>
  <si>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</si>
  <si>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</si>
  <si>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</si>
  <si>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</si>
  <si>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</si>
  <si>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</si>
  <si>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</si>
  <si>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</si>
  <si>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</si>
  <si>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</si>
  <si>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</si>
  <si>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</si>
  <si>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</si>
  <si>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</si>
  <si>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</si>
  <si>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</si>
  <si>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</si>
  <si>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</si>
  <si>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</si>
  <si>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</si>
  <si>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</si>
  <si>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</si>
  <si>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</si>
  <si>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</si>
  <si>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</si>
  <si>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</si>
  <si>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</si>
  <si>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</si>
  <si>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</si>
  <si>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</si>
  <si>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</si>
  <si>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</si>
  <si>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</si>
  <si>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</si>
  <si>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</si>
  <si>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</si>
  <si>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</si>
  <si>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</si>
  <si>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</si>
  <si>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</si>
  <si>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</si>
  <si>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</si>
  <si>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</si>
  <si>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</si>
  <si>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</si>
  <si>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</si>
  <si>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</si>
  <si>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</si>
  <si>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</si>
  <si>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</si>
  <si>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</si>
  <si>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</si>
  <si>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</si>
  <si>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</si>
  <si>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</si>
  <si>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</si>
  <si>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</si>
  <si>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</si>
  <si>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</si>
  <si>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</si>
  <si>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</si>
  <si>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</si>
  <si>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</si>
  <si>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</si>
  <si>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</si>
  <si>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</si>
  <si>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</si>
  <si>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</si>
  <si>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</si>
  <si>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</si>
  <si>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</si>
  <si>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</si>
  <si>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</si>
  <si>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</si>
  <si>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</si>
  <si>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</si>
  <si>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</si>
  <si>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</si>
  <si>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</si>
  <si>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</si>
  <si>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</si>
  <si>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</si>
  <si>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</si>
  <si>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</si>
  <si>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</si>
  <si>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</si>
  <si>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</si>
  <si>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</si>
  <si>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</si>
  <si>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</si>
  <si>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</si>
  <si>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</si>
  <si>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</si>
  <si>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</si>
  <si>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</si>
  <si>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</si>
  <si>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</si>
  <si>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</si>
  <si>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</si>
  <si>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</si>
  <si>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</si>
  <si>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</si>
  <si>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</si>
  <si>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</si>
  <si>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</si>
  <si>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</si>
  <si>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</si>
  <si>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</si>
  <si>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</si>
  <si>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</si>
  <si>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</si>
  <si>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</si>
  <si>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</si>
  <si>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</si>
  <si>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</si>
  <si>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</si>
  <si>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</si>
  <si>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</si>
  <si>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</si>
  <si>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</si>
  <si>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</si>
  <si>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</si>
  <si>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</si>
  <si>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</si>
  <si>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</si>
  <si>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</si>
  <si>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</si>
  <si>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</si>
  <si>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</si>
  <si>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</si>
  <si>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</si>
  <si>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</si>
  <si>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</si>
  <si>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</si>
  <si>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</si>
  <si>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</si>
  <si>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</si>
  <si>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</si>
  <si>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</si>
  <si>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</si>
  <si>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</si>
  <si>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</si>
  <si>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</si>
  <si>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</si>
  <si>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</si>
  <si>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</si>
  <si>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</si>
  <si>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</si>
  <si>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</si>
  <si>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</si>
  <si>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</si>
  <si>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</si>
  <si>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</si>
  <si>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</si>
  <si>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</si>
  <si>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</si>
  <si>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</si>
  <si>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</si>
  <si>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</si>
  <si>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</si>
  <si>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</si>
  <si>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</si>
  <si>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</si>
  <si>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</si>
  <si>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</si>
  <si>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</si>
  <si>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</si>
  <si>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</si>
  <si>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</si>
  <si>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</si>
  <si>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</si>
  <si>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</si>
  <si>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</si>
  <si>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</si>
  <si>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</si>
  <si>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</si>
  <si>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</si>
  <si>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</si>
  <si>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</si>
  <si>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</si>
  <si>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</si>
  <si>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</si>
  <si>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</si>
  <si>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</si>
  <si>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</si>
  <si>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</si>
  <si>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</si>
  <si>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</si>
  <si>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</si>
  <si>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</si>
  <si>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</si>
  <si>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</si>
  <si>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</si>
  <si>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</si>
  <si>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</si>
  <si>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</si>
  <si>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</si>
  <si>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</si>
  <si>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</si>
  <si>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</si>
  <si>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</si>
  <si>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</si>
  <si>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</si>
  <si>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</si>
  <si>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</si>
  <si>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</si>
  <si>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</si>
  <si>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</si>
  <si>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</si>
  <si>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</si>
  <si>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</si>
  <si>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</si>
  <si>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</si>
  <si>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</si>
  <si>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</si>
  <si>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</si>
  <si>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</si>
  <si>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</si>
  <si>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</si>
  <si>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</si>
  <si>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</si>
  <si>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</si>
  <si>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</si>
  <si>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</si>
  <si>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</si>
  <si>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</si>
  <si>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</si>
  <si>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</si>
  <si>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</si>
  <si>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</si>
  <si>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</si>
  <si>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</si>
  <si>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</si>
  <si>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</si>
  <si>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</si>
  <si>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</si>
  <si>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</si>
  <si>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</si>
  <si>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</si>
  <si>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</si>
  <si>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</si>
  <si>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</si>
  <si>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</si>
  <si>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</si>
  <si>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</si>
  <si>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</si>
  <si>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</si>
  <si>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</si>
  <si>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</si>
  <si>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</si>
  <si>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</si>
  <si>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</si>
  <si>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</si>
  <si>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</si>
  <si>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</si>
  <si>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</si>
  <si>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</si>
  <si>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</si>
  <si>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</si>
  <si>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</si>
  <si>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</si>
  <si>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</si>
  <si>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</si>
  <si>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</si>
  <si>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</si>
  <si>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</si>
  <si>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</si>
  <si>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</si>
  <si>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</si>
  <si>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</si>
  <si>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</si>
  <si>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</si>
  <si>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</si>
  <si>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</si>
  <si>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</si>
  <si>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</si>
  <si>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</si>
  <si>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</si>
  <si>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</si>
  <si>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</si>
  <si>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</si>
  <si>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</si>
  <si>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</si>
  <si>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</si>
  <si>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</si>
  <si>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</si>
  <si>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</si>
  <si>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</si>
  <si>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</si>
  <si>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</si>
  <si>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</si>
  <si>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</si>
  <si>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</si>
  <si>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</si>
  <si>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</si>
  <si>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</si>
  <si>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</si>
  <si>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</si>
  <si>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</si>
  <si>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</si>
  <si>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</si>
  <si>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</si>
  <si>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</si>
  <si>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</si>
  <si>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</si>
  <si>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</si>
  <si>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</si>
  <si>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</si>
  <si>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</si>
  <si>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</si>
  <si>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</si>
  <si>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</si>
  <si>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</si>
  <si>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</si>
  <si>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</si>
  <si>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</si>
  <si>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</si>
  <si>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</si>
  <si>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</si>
  <si>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</si>
  <si>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</si>
  <si>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</si>
  <si>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</si>
  <si>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</si>
  <si>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</si>
  <si>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</si>
  <si>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</si>
  <si>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</si>
  <si>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</si>
  <si>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</si>
  <si>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</si>
  <si>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</si>
  <si>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</si>
  <si>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</si>
  <si>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</si>
  <si>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</si>
  <si>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</si>
  <si>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</si>
  <si>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</si>
  <si>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</si>
  <si>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</si>
  <si>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</si>
  <si>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</si>
  <si>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</si>
  <si>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</si>
  <si>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</si>
  <si>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</si>
  <si>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</si>
  <si>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</si>
  <si>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</si>
  <si>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</si>
  <si>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</si>
  <si>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</si>
  <si>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</si>
  <si>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</si>
  <si>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</si>
  <si>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</si>
  <si>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</si>
  <si>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</si>
  <si>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</si>
  <si>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</si>
  <si>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</si>
  <si>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</si>
  <si>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</si>
  <si>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</si>
  <si>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</si>
  <si>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</si>
  <si>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</si>
  <si>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</si>
  <si>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</si>
  <si>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</si>
  <si>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</si>
  <si>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</si>
  <si>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</si>
  <si>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</si>
  <si>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</si>
  <si>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</si>
  <si>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</si>
  <si>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</si>
  <si>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</si>
  <si>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</si>
  <si>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</si>
  <si>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</si>
  <si>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</si>
  <si>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</si>
  <si>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</si>
  <si>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</si>
  <si>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</si>
  <si>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</si>
  <si>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</si>
  <si>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</si>
  <si>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</si>
  <si>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</si>
  <si>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</si>
  <si>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</si>
  <si>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</si>
  <si>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</si>
  <si>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</si>
  <si>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</si>
  <si>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</si>
  <si>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</si>
  <si>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</si>
  <si>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</si>
  <si>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</si>
  <si>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</si>
  <si>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</si>
  <si>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</si>
  <si>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</si>
  <si>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</si>
  <si>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</si>
  <si>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</si>
  <si>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</si>
  <si>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</si>
  <si>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</si>
  <si>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</si>
  <si>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</si>
  <si>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</si>
  <si>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</si>
  <si>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</si>
  <si>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</si>
  <si>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</si>
  <si>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</si>
  <si>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</si>
  <si>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</si>
  <si>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</si>
  <si>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</si>
  <si>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</si>
  <si>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</si>
  <si>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</si>
  <si>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</si>
  <si>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</si>
  <si>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</si>
  <si>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</si>
  <si>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</si>
  <si>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</si>
  <si>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</si>
  <si>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</si>
  <si>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</si>
  <si>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</si>
  <si>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</si>
  <si>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</si>
  <si>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</si>
  <si>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</si>
  <si>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</si>
  <si>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</si>
  <si>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</si>
  <si>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</si>
  <si>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</si>
  <si>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</si>
  <si>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</si>
  <si>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</si>
  <si>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</si>
  <si>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</si>
  <si>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</si>
  <si>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</si>
  <si>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</si>
  <si>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</si>
  <si>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</si>
  <si>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</si>
  <si>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</si>
  <si>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</si>
  <si>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</si>
  <si>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</si>
  <si>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</si>
  <si>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</si>
  <si>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</si>
  <si>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</si>
  <si>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</si>
  <si>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</si>
  <si>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</si>
  <si>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</si>
  <si>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</si>
  <si>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</si>
  <si>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</si>
  <si>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</si>
  <si>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</si>
  <si>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</si>
  <si>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</si>
  <si>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</si>
  <si>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</si>
  <si>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</si>
  <si>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</si>
  <si>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</si>
  <si>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</si>
  <si>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</si>
  <si>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</si>
  <si>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</si>
  <si>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</si>
  <si>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</si>
  <si>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</si>
  <si>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</si>
  <si>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</si>
  <si>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</si>
  <si>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</si>
  <si>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</si>
  <si>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</si>
  <si>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</si>
  <si>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</si>
  <si>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</si>
  <si>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</si>
  <si>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</si>
  <si>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</si>
  <si>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</si>
  <si>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</si>
  <si>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</si>
  <si>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</si>
  <si>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</si>
  <si>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</si>
  <si>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</si>
  <si>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</si>
  <si>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</si>
  <si>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</si>
  <si>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</si>
  <si>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</si>
  <si>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</si>
  <si>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</si>
  <si>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</si>
  <si>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</si>
  <si>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</si>
  <si>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</si>
  <si>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</si>
  <si>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</si>
  <si>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</si>
  <si>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</si>
  <si>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</si>
  <si>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</si>
  <si>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</si>
  <si>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</si>
  <si>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</si>
  <si>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</si>
  <si>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</si>
  <si>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</si>
  <si>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</si>
  <si>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</si>
  <si>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</si>
  <si>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</si>
  <si>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</si>
  <si>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</si>
  <si>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</si>
  <si>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</si>
  <si>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</si>
  <si>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</si>
  <si>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</si>
  <si>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</si>
  <si>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</si>
  <si>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</si>
  <si>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</si>
  <si>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</si>
  <si>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</si>
  <si>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</si>
  <si>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</si>
  <si>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</si>
  <si>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</si>
  <si>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</si>
  <si>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</si>
  <si>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</si>
  <si>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</si>
  <si>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</si>
  <si>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</si>
  <si>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</si>
  <si>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</si>
  <si>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</si>
  <si>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</si>
  <si>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</si>
  <si>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</si>
  <si>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</si>
  <si>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</si>
  <si>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</si>
  <si>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</si>
  <si>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</si>
  <si>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</si>
  <si>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</si>
  <si>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</si>
  <si>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</si>
  <si>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</si>
  <si>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</si>
  <si>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</si>
  <si>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</si>
  <si>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</si>
  <si>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</si>
  <si>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</si>
  <si>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</si>
  <si>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</si>
  <si>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</si>
  <si>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</si>
  <si>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</si>
  <si>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</si>
  <si>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2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</si>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</sst>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0"/>
  <sheetViews>
    <sheetView view="pageBreakPreview" topLeftCell="A958" zoomScale="87" zoomScaleNormal="100" zoomScaleSheetLayoutView="87" zoomScalePageLayoutView="80" workbookViewId="0">
      <selection activeCell="F971" sqref="F971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x14ac:dyDescent="0.25">
      <c r="A1" s="703"/>
    </row>
    <row r="2" spans="1:15" x14ac:dyDescent="0.25">
      <c r="A2" s="703"/>
      <c r="I2" s="726" t="s">
        <v>783</v>
      </c>
      <c r="J2" s="723"/>
      <c r="K2" s="723"/>
    </row>
    <row r="3" spans="1:15" ht="116.25" customHeight="1" x14ac:dyDescent="0.25">
      <c r="A3" s="703"/>
      <c r="I3" s="727" t="s">
        <v>826</v>
      </c>
      <c r="J3" s="727"/>
      <c r="K3" s="727"/>
    </row>
    <row r="4" spans="1:15" ht="38.25" customHeight="1" x14ac:dyDescent="0.25">
      <c r="A4" s="703"/>
    </row>
    <row r="5" spans="1:15" ht="15.75" x14ac:dyDescent="0.25">
      <c r="B5" s="10"/>
      <c r="C5" s="10"/>
      <c r="F5" s="679"/>
      <c r="G5" s="676"/>
      <c r="H5" s="676"/>
      <c r="I5" s="726" t="s">
        <v>827</v>
      </c>
      <c r="J5" s="723"/>
      <c r="K5" s="723"/>
    </row>
    <row r="6" spans="1:15" ht="103.5" customHeight="1" x14ac:dyDescent="0.25">
      <c r="B6" s="10"/>
      <c r="C6" s="10"/>
      <c r="F6" s="679"/>
      <c r="G6" s="579"/>
      <c r="H6" s="579"/>
      <c r="I6" s="727" t="s">
        <v>825</v>
      </c>
      <c r="J6" s="728"/>
      <c r="K6" s="728"/>
    </row>
    <row r="7" spans="1:15" ht="15.75" hidden="1" customHeight="1" x14ac:dyDescent="0.25">
      <c r="B7" s="10"/>
      <c r="C7" s="10"/>
      <c r="F7" s="679"/>
      <c r="G7" s="724"/>
      <c r="H7" s="725"/>
      <c r="I7" s="725"/>
      <c r="J7" s="725"/>
      <c r="K7" s="725"/>
    </row>
    <row r="8" spans="1:15" ht="15.75" x14ac:dyDescent="0.25">
      <c r="B8" s="10"/>
      <c r="C8" s="10"/>
      <c r="F8" s="679"/>
      <c r="G8" s="435"/>
      <c r="H8" s="435"/>
      <c r="I8" s="435"/>
      <c r="J8" s="42"/>
    </row>
    <row r="9" spans="1:15" ht="12.75" customHeight="1" x14ac:dyDescent="0.25">
      <c r="B9" s="10"/>
      <c r="C9" s="10"/>
      <c r="F9" s="679"/>
      <c r="G9" s="435"/>
      <c r="H9" s="435"/>
      <c r="I9" s="435"/>
      <c r="J9" s="42"/>
    </row>
    <row r="10" spans="1:15" ht="15.75" hidden="1" x14ac:dyDescent="0.25">
      <c r="B10" s="10"/>
      <c r="C10" s="10"/>
      <c r="F10" s="679"/>
      <c r="G10" s="435"/>
      <c r="H10" s="435"/>
      <c r="I10" s="435"/>
      <c r="J10" s="42"/>
    </row>
    <row r="11" spans="1:15" ht="116.45" customHeight="1" x14ac:dyDescent="0.2">
      <c r="A11" s="720" t="s">
        <v>786</v>
      </c>
      <c r="B11" s="721"/>
      <c r="C11" s="721"/>
      <c r="D11" s="721"/>
      <c r="E11" s="721"/>
      <c r="F11" s="722"/>
      <c r="G11" s="722"/>
      <c r="H11" s="722"/>
      <c r="I11" s="722"/>
      <c r="J11" s="723"/>
      <c r="K11" s="723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435</v>
      </c>
      <c r="G13" s="175" t="s">
        <v>587</v>
      </c>
      <c r="H13" s="176" t="s">
        <v>608</v>
      </c>
      <c r="I13" s="175" t="s">
        <v>587</v>
      </c>
      <c r="J13" s="176" t="s">
        <v>643</v>
      </c>
      <c r="K13" s="175" t="s">
        <v>587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498003.20000000001</v>
      </c>
      <c r="G15" s="178">
        <f t="shared" si="0"/>
        <v>6821.6</v>
      </c>
      <c r="H15" s="178">
        <f t="shared" si="0"/>
        <v>340551.4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2025-2027'!AD18</f>
        <v>9374.2999999999993</v>
      </c>
      <c r="G20" s="306"/>
      <c r="H20" s="522">
        <f>'ведом. 2025-2027'!AE18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2025-2027'!AD20</f>
        <v>9374.2999999999993</v>
      </c>
      <c r="G22" s="306"/>
      <c r="H22" s="522">
        <f>'ведом. 2025-2027'!AE20</f>
        <v>3451.3</v>
      </c>
      <c r="I22" s="522"/>
      <c r="J22" s="522">
        <f>'ведом. 2025-2027'!AF20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19670.3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533</v>
      </c>
      <c r="B26" s="453" t="s">
        <v>29</v>
      </c>
      <c r="C26" s="454" t="s">
        <v>7</v>
      </c>
      <c r="D26" s="464" t="s">
        <v>534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405</v>
      </c>
      <c r="B27" s="453" t="s">
        <v>29</v>
      </c>
      <c r="C27" s="454" t="s">
        <v>7</v>
      </c>
      <c r="D27" s="458" t="s">
        <v>535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535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535</v>
      </c>
      <c r="E29" s="460">
        <v>240</v>
      </c>
      <c r="F29" s="522">
        <f>'ведом. 2025-2027'!AD549</f>
        <v>20</v>
      </c>
      <c r="G29" s="524"/>
      <c r="H29" s="522">
        <f>'ведом. 2025-2027'!AE549</f>
        <v>0</v>
      </c>
      <c r="I29" s="522"/>
      <c r="J29" s="522">
        <f>'ведом. 2025-2027'!AF549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19650.3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2025-2027'!AD553</f>
        <v>3495</v>
      </c>
      <c r="G33" s="306"/>
      <c r="H33" s="522">
        <f>'ведом. 2025-2027'!AE553</f>
        <v>2936</v>
      </c>
      <c r="I33" s="522"/>
      <c r="J33" s="522">
        <f>'ведом. 2025-2027'!AF553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2025-2027'!AD556</f>
        <v>2501</v>
      </c>
      <c r="G36" s="306"/>
      <c r="H36" s="522">
        <f>'ведом. 2025-2027'!AE556</f>
        <v>2279.5</v>
      </c>
      <c r="I36" s="522"/>
      <c r="J36" s="522">
        <f>'ведом. 2025-2027'!AF556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13654.3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3529.9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3529.9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2025-2027'!AD560</f>
        <v>3529.9</v>
      </c>
      <c r="G40" s="306"/>
      <c r="H40" s="522">
        <f>'ведом. 2025-2027'!AE560</f>
        <v>1849.9</v>
      </c>
      <c r="I40" s="522"/>
      <c r="J40" s="522">
        <f>'ведом. 2025-2027'!AF560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2025-2027'!AD563</f>
        <v>5228</v>
      </c>
      <c r="G43" s="306"/>
      <c r="H43" s="522">
        <f>'ведом. 2025-2027'!AE563</f>
        <v>4779.1000000000004</v>
      </c>
      <c r="I43" s="522"/>
      <c r="J43" s="522">
        <f>'ведом. 2025-2027'!AF563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2025-2027'!AD566</f>
        <v>4896.3999999999996</v>
      </c>
      <c r="G46" s="306"/>
      <c r="H46" s="522">
        <f>'ведом. 2025-2027'!AE566</f>
        <v>4896.3999999999996</v>
      </c>
      <c r="I46" s="522"/>
      <c r="J46" s="522">
        <f>'ведом. 2025-2027'!AF566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704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127729.9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400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518</v>
      </c>
      <c r="B50" s="191" t="s">
        <v>29</v>
      </c>
      <c r="C50" s="4" t="s">
        <v>49</v>
      </c>
      <c r="D50" s="26" t="s">
        <v>517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357</v>
      </c>
      <c r="B51" s="191" t="s">
        <v>29</v>
      </c>
      <c r="C51" s="4" t="s">
        <v>49</v>
      </c>
      <c r="D51" s="26" t="s">
        <v>519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519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519</v>
      </c>
      <c r="E53" s="326">
        <v>120</v>
      </c>
      <c r="F53" s="159">
        <f>'ведом. 2025-2027'!AD27</f>
        <v>4651.3999999999996</v>
      </c>
      <c r="G53" s="306">
        <f>F53</f>
        <v>4651.3999999999996</v>
      </c>
      <c r="H53" s="522">
        <f>'ведом. 2025-2027'!AE27</f>
        <v>4659.6000000000004</v>
      </c>
      <c r="I53" s="522">
        <f>H53</f>
        <v>4659.6000000000004</v>
      </c>
      <c r="J53" s="522">
        <f>'ведом. 2025-2027'!AF27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519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519</v>
      </c>
      <c r="E55" s="326">
        <v>240</v>
      </c>
      <c r="F55" s="159">
        <f>'ведом. 2025-2027'!AD29</f>
        <v>526.6</v>
      </c>
      <c r="G55" s="306">
        <f>F55</f>
        <v>526.6</v>
      </c>
      <c r="H55" s="522">
        <f>'ведом. 2025-2027'!AE29</f>
        <v>546.4</v>
      </c>
      <c r="I55" s="522">
        <f>H55</f>
        <v>546.4</v>
      </c>
      <c r="J55" s="522">
        <f>'ведом. 2025-2027'!AF29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566</v>
      </c>
      <c r="B56" s="191" t="s">
        <v>29</v>
      </c>
      <c r="C56" s="4" t="s">
        <v>49</v>
      </c>
      <c r="D56" s="309" t="s">
        <v>569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567</v>
      </c>
      <c r="B57" s="191" t="s">
        <v>29</v>
      </c>
      <c r="C57" s="4" t="s">
        <v>49</v>
      </c>
      <c r="D57" s="309" t="s">
        <v>570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568</v>
      </c>
      <c r="B58" s="191" t="s">
        <v>29</v>
      </c>
      <c r="C58" s="4" t="s">
        <v>49</v>
      </c>
      <c r="D58" s="309" t="s">
        <v>571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571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571</v>
      </c>
      <c r="E60" s="326">
        <v>240</v>
      </c>
      <c r="F60" s="159">
        <f>'ведом. 2025-2027'!AD34</f>
        <v>70</v>
      </c>
      <c r="G60" s="306"/>
      <c r="H60" s="522">
        <f>'ведом. 2025-2027'!AE34</f>
        <v>0</v>
      </c>
      <c r="I60" s="522"/>
      <c r="J60" s="522">
        <f>'ведом. 2025-2027'!AF34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112823.5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112823.5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112309.5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112309.5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11341.099999999999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2025-2027'!AD41</f>
        <v>50</v>
      </c>
      <c r="G67" s="306"/>
      <c r="H67" s="522">
        <f>'ведом. 2025-2027'!AE41</f>
        <v>50</v>
      </c>
      <c r="I67" s="522"/>
      <c r="J67" s="522">
        <f>'ведом. 2025-2027'!AF41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11290.999999999998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2025-2027'!AD43</f>
        <v>11290.999999999998</v>
      </c>
      <c r="G69" s="306"/>
      <c r="H69" s="522">
        <f>'ведом. 2025-2027'!AE43</f>
        <v>9437.2999999999993</v>
      </c>
      <c r="I69" s="522"/>
      <c r="J69" s="522">
        <f>'ведом. 2025-2027'!AF43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2025-2027'!AD45</f>
        <v>0.1</v>
      </c>
      <c r="G71" s="524"/>
      <c r="H71" s="522">
        <f>'ведом. 2025-2027'!AE45</f>
        <v>0</v>
      </c>
      <c r="I71" s="522"/>
      <c r="J71" s="522">
        <f>'ведом. 2025-2027'!AF45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2025-2027'!AD48</f>
        <v>28421.4</v>
      </c>
      <c r="G74" s="306"/>
      <c r="H74" s="522">
        <f>'ведом. 2025-2027'!AE48</f>
        <v>28421.4</v>
      </c>
      <c r="I74" s="522"/>
      <c r="J74" s="522">
        <f>'ведом. 2025-2027'!AF48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2025-2027'!AD51</f>
        <v>72547</v>
      </c>
      <c r="G77" s="306"/>
      <c r="H77" s="522">
        <f>'ведом. 2025-2027'!AE51</f>
        <v>54374.3</v>
      </c>
      <c r="I77" s="522"/>
      <c r="J77" s="522">
        <f>'ведом. 2025-2027'!AF51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533</v>
      </c>
      <c r="B78" s="191" t="s">
        <v>29</v>
      </c>
      <c r="C78" s="4" t="s">
        <v>49</v>
      </c>
      <c r="D78" s="281" t="s">
        <v>534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405</v>
      </c>
      <c r="B79" s="191" t="s">
        <v>29</v>
      </c>
      <c r="C79" s="4" t="s">
        <v>49</v>
      </c>
      <c r="D79" s="156" t="s">
        <v>535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535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535</v>
      </c>
      <c r="E81" s="326">
        <v>240</v>
      </c>
      <c r="F81" s="159">
        <f>'ведом. 2025-2027'!AD55</f>
        <v>514</v>
      </c>
      <c r="G81" s="306"/>
      <c r="H81" s="522">
        <f>'ведом. 2025-2027'!AE55</f>
        <v>383</v>
      </c>
      <c r="I81" s="522"/>
      <c r="J81" s="522">
        <f>'ведом. 2025-2027'!AF55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9658.4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9658.4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9658.4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676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9658.4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9658.4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2025-2027'!AD61</f>
        <v>9658.4</v>
      </c>
      <c r="G87" s="306"/>
      <c r="H87" s="522">
        <f>'ведом. 2025-2027'!AE61</f>
        <v>3000</v>
      </c>
      <c r="I87" s="522"/>
      <c r="J87" s="522">
        <f>'ведом. 2025-2027'!AF61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32115.100000000002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32115.100000000002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2025-2027'!AD584</f>
        <v>3669.3</v>
      </c>
      <c r="G95" s="306"/>
      <c r="H95" s="522">
        <f>'ведом. 2025-2027'!AE584</f>
        <v>3657.8</v>
      </c>
      <c r="I95" s="522"/>
      <c r="J95" s="522">
        <f>'ведом. 2025-2027'!AF584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2025-2027'!AD587</f>
        <v>15536.1</v>
      </c>
      <c r="G98" s="306"/>
      <c r="H98" s="522">
        <f>'ведом. 2025-2027'!AE587</f>
        <v>15536.1</v>
      </c>
      <c r="I98" s="522"/>
      <c r="J98" s="522">
        <f>'ведом. 2025-2027'!AF587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2025-2027'!AD590</f>
        <v>12620</v>
      </c>
      <c r="G101" s="306"/>
      <c r="H101" s="522">
        <f>'ведом. 2025-2027'!AE590</f>
        <v>12571.7</v>
      </c>
      <c r="I101" s="522"/>
      <c r="J101" s="522">
        <f>'ведом. 2025-2027'!AF590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533</v>
      </c>
      <c r="B102" s="191" t="s">
        <v>29</v>
      </c>
      <c r="C102" s="516" t="s">
        <v>95</v>
      </c>
      <c r="D102" s="313" t="s">
        <v>534</v>
      </c>
      <c r="E102" s="444"/>
      <c r="F102" s="440">
        <f>F103</f>
        <v>289.7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405</v>
      </c>
      <c r="B103" s="191" t="s">
        <v>29</v>
      </c>
      <c r="C103" s="516" t="s">
        <v>95</v>
      </c>
      <c r="D103" s="291" t="s">
        <v>535</v>
      </c>
      <c r="E103" s="444"/>
      <c r="F103" s="440">
        <f>F104</f>
        <v>289.7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535</v>
      </c>
      <c r="E104" s="444">
        <v>200</v>
      </c>
      <c r="F104" s="440">
        <f>F105</f>
        <v>289.7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535</v>
      </c>
      <c r="E105" s="444">
        <v>240</v>
      </c>
      <c r="F105" s="440">
        <f>'ведом. 2025-2027'!AD594+'ведом. 2025-2027'!AD1102</f>
        <v>289.7</v>
      </c>
      <c r="G105" s="306"/>
      <c r="H105" s="522">
        <f>'ведом. 2025-2027'!AE594+'ведом. 2025-2027'!AE1102</f>
        <v>276.3</v>
      </c>
      <c r="I105" s="522"/>
      <c r="J105" s="522">
        <f>'ведом. 2025-2027'!AF594+'ведом. 2025-2027'!AF1102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11150.400000000001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11150.400000000001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1322.2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1322.2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2025-2027'!AD1107</f>
        <v>1322.2</v>
      </c>
      <c r="G110" s="306"/>
      <c r="H110" s="522">
        <f>'ведом. 2025-2027'!AE1107</f>
        <v>1348.2</v>
      </c>
      <c r="I110" s="522"/>
      <c r="J110" s="522">
        <f>'ведом. 2025-2027'!AF1107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2025-2027'!AD1110</f>
        <v>2423.4</v>
      </c>
      <c r="G113" s="306"/>
      <c r="H113" s="522">
        <f>'ведом. 2025-2027'!AE1110</f>
        <v>2423.4</v>
      </c>
      <c r="I113" s="522"/>
      <c r="J113" s="522">
        <f>'ведом. 2025-2027'!AF1110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2025-2027'!AD1113</f>
        <v>4460</v>
      </c>
      <c r="G116" s="306"/>
      <c r="H116" s="522">
        <f>'ведом. 2025-2027'!AE1113</f>
        <v>4460</v>
      </c>
      <c r="I116" s="522"/>
      <c r="J116" s="522">
        <f>'ведом. 2025-2027'!AF1113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402</v>
      </c>
      <c r="B117" s="191" t="s">
        <v>29</v>
      </c>
      <c r="C117" s="4" t="s">
        <v>95</v>
      </c>
      <c r="D117" s="156" t="s">
        <v>403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403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403</v>
      </c>
      <c r="E119" s="326">
        <v>120</v>
      </c>
      <c r="F119" s="159">
        <f>'ведом. 2025-2027'!AD1116</f>
        <v>2944.8</v>
      </c>
      <c r="G119" s="306"/>
      <c r="H119" s="522">
        <f>'ведом. 2025-2027'!AE1116</f>
        <v>2531.8000000000002</v>
      </c>
      <c r="I119" s="522"/>
      <c r="J119" s="522">
        <f>'ведом. 2025-2027'!AF1116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613</v>
      </c>
      <c r="B122" s="1" t="s">
        <v>29</v>
      </c>
      <c r="C122" s="4" t="s">
        <v>8</v>
      </c>
      <c r="D122" s="291" t="s">
        <v>614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614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620</v>
      </c>
      <c r="B124" s="1" t="s">
        <v>29</v>
      </c>
      <c r="C124" s="4" t="s">
        <v>8</v>
      </c>
      <c r="D124" s="291" t="s">
        <v>614</v>
      </c>
      <c r="E124" s="283">
        <v>880</v>
      </c>
      <c r="F124" s="159">
        <f>'ведом. 2025-2027'!AD66</f>
        <v>6400</v>
      </c>
      <c r="G124" s="159"/>
      <c r="H124" s="522">
        <f>'ведом. 2025-2027'!AE66</f>
        <v>0</v>
      </c>
      <c r="I124" s="522"/>
      <c r="J124" s="522">
        <f>'ведом. 2025-2027'!AF66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2025-2027'!AD71</f>
        <v>1000</v>
      </c>
      <c r="G129" s="306"/>
      <c r="H129" s="522">
        <f>'ведом. 2025-2027'!AE71</f>
        <v>0</v>
      </c>
      <c r="I129" s="522"/>
      <c r="J129" s="522">
        <f>'ведом. 2025-2027'!AF71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F131+F200+F206+F212</f>
        <v>290563.20000000001</v>
      </c>
      <c r="G130" s="159">
        <f t="shared" si="17"/>
        <v>1643.6</v>
      </c>
      <c r="H130" s="522">
        <f t="shared" si="17"/>
        <v>176681.9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209992.40000000002</v>
      </c>
      <c r="G131" s="306">
        <f t="shared" si="18"/>
        <v>1643</v>
      </c>
      <c r="H131" s="522">
        <f t="shared" si="18"/>
        <v>121621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529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61449.100000000006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32291.8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771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32291.8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15898.4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2025-2027'!AD617+'ведом. 2025-2027'!AD864+'ведом. 2025-2027'!AD78</f>
        <v>15898.4</v>
      </c>
      <c r="G136" s="306"/>
      <c r="H136" s="522">
        <f>'ведом. 2025-2027'!AE617+'ведом. 2025-2027'!AE864</f>
        <v>700</v>
      </c>
      <c r="I136" s="522"/>
      <c r="J136" s="522">
        <f>'ведом. 2025-2027'!AF617+'ведом. 2025-2027'!AF864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420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2025-2027'!AD80</f>
        <v>2233.2999999999997</v>
      </c>
      <c r="G138" s="306"/>
      <c r="H138" s="522">
        <f>'ведом. 2025-2027'!AE80</f>
        <v>2279.1999999999998</v>
      </c>
      <c r="I138" s="522"/>
      <c r="J138" s="522">
        <f>'ведом. 2025-2027'!AF80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2025-2027'!AD82</f>
        <v>11547.9</v>
      </c>
      <c r="G140" s="306"/>
      <c r="H140" s="522">
        <f>'ведом. 2025-2027'!AE82</f>
        <v>11547.9</v>
      </c>
      <c r="I140" s="522"/>
      <c r="J140" s="522">
        <f>'ведом. 2025-2027'!AF82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2612.1999999999998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2025-2027'!AD619</f>
        <v>2612.1999999999998</v>
      </c>
      <c r="G142" s="524"/>
      <c r="H142" s="522">
        <f>'ведом. 2025-2027'!AE619</f>
        <v>0</v>
      </c>
      <c r="I142" s="522"/>
      <c r="J142" s="522">
        <f>'ведом. 2025-2027'!AF619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719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610</v>
      </c>
      <c r="B144" s="191" t="s">
        <v>29</v>
      </c>
      <c r="C144" s="4">
        <v>13</v>
      </c>
      <c r="D144" s="291" t="s">
        <v>609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609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609</v>
      </c>
      <c r="E146" s="327">
        <v>120</v>
      </c>
      <c r="F146" s="159">
        <f>'ведом. 2025-2027'!AD623+'ведом. 2025-2027'!AD86</f>
        <v>1539.9</v>
      </c>
      <c r="G146" s="306">
        <f>F146</f>
        <v>1539.9</v>
      </c>
      <c r="H146" s="522">
        <f>'ведом. 2025-2027'!AE86+'ведом. 2025-2027'!AE623</f>
        <v>1627.3000000000002</v>
      </c>
      <c r="I146" s="522">
        <f>H146</f>
        <v>1627.3000000000002</v>
      </c>
      <c r="J146" s="522">
        <f>'ведом. 2025-2027'!AF86+'ведом. 2025-2027'!AF623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609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609</v>
      </c>
      <c r="E148" s="327">
        <v>240</v>
      </c>
      <c r="F148" s="159">
        <f>'ведом. 2025-2027'!AD625+'ведом. 2025-2027'!AD88</f>
        <v>103.10000000000001</v>
      </c>
      <c r="G148" s="306">
        <f>F148</f>
        <v>103.10000000000001</v>
      </c>
      <c r="H148" s="522">
        <f>'ведом. 2025-2027'!AE625+'ведом. 2025-2027'!AE88</f>
        <v>15.7</v>
      </c>
      <c r="I148" s="522">
        <f>H148</f>
        <v>15.7</v>
      </c>
      <c r="J148" s="522">
        <f>'ведом. 2025-2027'!AF625+'ведом. 2025-2027'!AF88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458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459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460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460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460</v>
      </c>
      <c r="E153" s="326">
        <v>240</v>
      </c>
      <c r="F153" s="159">
        <f>'ведом. 2025-2027'!AD630</f>
        <v>3600.8</v>
      </c>
      <c r="G153" s="306"/>
      <c r="H153" s="522">
        <f>'ведом. 2025-2027'!AE630</f>
        <v>1785.8</v>
      </c>
      <c r="I153" s="522"/>
      <c r="J153" s="522">
        <f>'ведом. 2025-2027'!AF630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461</v>
      </c>
      <c r="E156" s="326">
        <v>120</v>
      </c>
      <c r="F156" s="159">
        <f>'ведом. 2025-2027'!AD633</f>
        <v>8234.4</v>
      </c>
      <c r="G156" s="306"/>
      <c r="H156" s="522">
        <f>'ведом. 2025-2027'!AE633</f>
        <v>8211.2999999999993</v>
      </c>
      <c r="I156" s="522"/>
      <c r="J156" s="522">
        <f>'ведом. 2025-2027'!AF633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462</v>
      </c>
      <c r="E159" s="326">
        <v>120</v>
      </c>
      <c r="F159" s="159">
        <f>'ведом. 2025-2027'!AD636</f>
        <v>15679.1</v>
      </c>
      <c r="G159" s="306"/>
      <c r="H159" s="522">
        <f>'ведом. 2025-2027'!AE636</f>
        <v>15520.5</v>
      </c>
      <c r="I159" s="522"/>
      <c r="J159" s="522">
        <f>'ведом. 2025-2027'!AF636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F161+F196</f>
        <v>148543.30000000002</v>
      </c>
      <c r="G160" s="522"/>
      <c r="H160" s="522">
        <f t="shared" ref="H160:J160" si="26">H161+H196</f>
        <v>79933.3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F166+F176+F183+F169+F162</f>
        <v>148456.1</v>
      </c>
      <c r="G161" s="522"/>
      <c r="H161" s="522">
        <f>H166+H176+H183+H169+H162</f>
        <v>79850.400000000009</v>
      </c>
      <c r="I161" s="522"/>
      <c r="J161" s="522">
        <f>J166+J176+J183+J169+J162</f>
        <v>77350.400000000009</v>
      </c>
      <c r="K161" s="522"/>
      <c r="L161" s="154"/>
      <c r="N161" s="154"/>
      <c r="O161" s="154"/>
    </row>
    <row r="162" spans="1:15" s="519" customFormat="1" x14ac:dyDescent="0.25">
      <c r="A162" s="457" t="s">
        <v>195</v>
      </c>
      <c r="B162" s="453" t="s">
        <v>29</v>
      </c>
      <c r="C162" s="453">
        <v>13</v>
      </c>
      <c r="D162" s="542" t="s">
        <v>196</v>
      </c>
      <c r="E162" s="454"/>
      <c r="F162" s="522">
        <f>F164</f>
        <v>0</v>
      </c>
      <c r="G162" s="522"/>
      <c r="H162" s="522">
        <f>H164</f>
        <v>2500</v>
      </c>
      <c r="I162" s="522"/>
      <c r="J162" s="522">
        <f>J164</f>
        <v>0</v>
      </c>
      <c r="K162" s="522"/>
      <c r="L162" s="521"/>
      <c r="N162" s="521"/>
      <c r="O162" s="521"/>
    </row>
    <row r="163" spans="1:15" s="519" customFormat="1" ht="31.5" x14ac:dyDescent="0.25">
      <c r="A163" s="451" t="s">
        <v>197</v>
      </c>
      <c r="B163" s="453" t="s">
        <v>29</v>
      </c>
      <c r="C163" s="453">
        <v>13</v>
      </c>
      <c r="D163" s="542" t="s">
        <v>198</v>
      </c>
      <c r="E163" s="454"/>
      <c r="F163" s="522">
        <f>F164</f>
        <v>0</v>
      </c>
      <c r="G163" s="522"/>
      <c r="H163" s="522">
        <f t="shared" ref="H163:J163" si="27">H164</f>
        <v>2500</v>
      </c>
      <c r="I163" s="522"/>
      <c r="J163" s="522">
        <f t="shared" si="27"/>
        <v>0</v>
      </c>
      <c r="K163" s="522"/>
      <c r="L163" s="521"/>
      <c r="N163" s="521"/>
      <c r="O163" s="521"/>
    </row>
    <row r="164" spans="1:15" s="519" customFormat="1" x14ac:dyDescent="0.25">
      <c r="A164" s="451" t="s">
        <v>120</v>
      </c>
      <c r="B164" s="453" t="s">
        <v>29</v>
      </c>
      <c r="C164" s="453">
        <v>13</v>
      </c>
      <c r="D164" s="542" t="s">
        <v>198</v>
      </c>
      <c r="E164" s="470">
        <v>200</v>
      </c>
      <c r="F164" s="522">
        <f>F165</f>
        <v>0</v>
      </c>
      <c r="G164" s="522"/>
      <c r="H164" s="522">
        <f t="shared" ref="H164:J164" si="28">H165</f>
        <v>2500</v>
      </c>
      <c r="I164" s="522"/>
      <c r="J164" s="522">
        <f t="shared" si="28"/>
        <v>0</v>
      </c>
      <c r="K164" s="522"/>
      <c r="L164" s="521"/>
      <c r="N164" s="521"/>
      <c r="O164" s="521"/>
    </row>
    <row r="165" spans="1:15" s="519" customFormat="1" ht="18.75" customHeight="1" x14ac:dyDescent="0.25">
      <c r="A165" s="451" t="s">
        <v>52</v>
      </c>
      <c r="B165" s="453" t="s">
        <v>29</v>
      </c>
      <c r="C165" s="453">
        <v>13</v>
      </c>
      <c r="D165" s="542" t="s">
        <v>198</v>
      </c>
      <c r="E165" s="470">
        <v>240</v>
      </c>
      <c r="F165" s="522">
        <f>'ведом. 2025-2027'!AD870</f>
        <v>0</v>
      </c>
      <c r="G165" s="524"/>
      <c r="H165" s="522">
        <f>'ведом. 2025-2027'!AE870</f>
        <v>2500</v>
      </c>
      <c r="I165" s="522"/>
      <c r="J165" s="522">
        <f>'ведом. 2025-2027'!AF870</f>
        <v>0</v>
      </c>
      <c r="K165" s="522"/>
      <c r="L165" s="521"/>
      <c r="N165" s="521"/>
      <c r="O165" s="521"/>
    </row>
    <row r="166" spans="1:15" s="138" customFormat="1" x14ac:dyDescent="0.25">
      <c r="A166" s="278" t="s">
        <v>223</v>
      </c>
      <c r="B166" s="191" t="s">
        <v>29</v>
      </c>
      <c r="C166" s="4">
        <v>13</v>
      </c>
      <c r="D166" s="281" t="s">
        <v>224</v>
      </c>
      <c r="E166" s="326"/>
      <c r="F166" s="159">
        <f>F167</f>
        <v>160</v>
      </c>
      <c r="G166" s="306"/>
      <c r="H166" s="522">
        <f>H167</f>
        <v>160</v>
      </c>
      <c r="I166" s="522"/>
      <c r="J166" s="522">
        <f>J167</f>
        <v>160</v>
      </c>
      <c r="K166" s="522"/>
      <c r="L166" s="154"/>
      <c r="N166" s="154"/>
      <c r="O166" s="154"/>
    </row>
    <row r="167" spans="1:15" s="138" customFormat="1" x14ac:dyDescent="0.25">
      <c r="A167" s="375" t="s">
        <v>42</v>
      </c>
      <c r="B167" s="191" t="s">
        <v>29</v>
      </c>
      <c r="C167" s="4">
        <v>13</v>
      </c>
      <c r="D167" s="281" t="s">
        <v>224</v>
      </c>
      <c r="E167" s="326">
        <v>800</v>
      </c>
      <c r="F167" s="159">
        <f>F168</f>
        <v>160</v>
      </c>
      <c r="G167" s="306"/>
      <c r="H167" s="522">
        <f>H168</f>
        <v>160</v>
      </c>
      <c r="I167" s="522"/>
      <c r="J167" s="522">
        <f>J168</f>
        <v>160</v>
      </c>
      <c r="K167" s="522"/>
      <c r="L167" s="154"/>
      <c r="N167" s="154"/>
      <c r="O167" s="154"/>
    </row>
    <row r="168" spans="1:15" s="138" customFormat="1" x14ac:dyDescent="0.25">
      <c r="A168" s="375" t="s">
        <v>57</v>
      </c>
      <c r="B168" s="191" t="s">
        <v>29</v>
      </c>
      <c r="C168" s="4">
        <v>13</v>
      </c>
      <c r="D168" s="281" t="s">
        <v>224</v>
      </c>
      <c r="E168" s="326">
        <v>850</v>
      </c>
      <c r="F168" s="159">
        <f>'ведом. 2025-2027'!AD93</f>
        <v>160</v>
      </c>
      <c r="G168" s="306"/>
      <c r="H168" s="522">
        <f>'ведом. 2025-2027'!AE93</f>
        <v>160</v>
      </c>
      <c r="I168" s="522"/>
      <c r="J168" s="522">
        <f>'ведом. 2025-2027'!AF93</f>
        <v>160</v>
      </c>
      <c r="K168" s="522"/>
      <c r="L168" s="154"/>
      <c r="N168" s="154"/>
      <c r="O168" s="154"/>
    </row>
    <row r="169" spans="1:15" s="177" customFormat="1" ht="31.5" x14ac:dyDescent="0.25">
      <c r="A169" s="258" t="s">
        <v>550</v>
      </c>
      <c r="B169" s="191" t="s">
        <v>29</v>
      </c>
      <c r="C169" s="4">
        <v>13</v>
      </c>
      <c r="D169" s="281" t="s">
        <v>549</v>
      </c>
      <c r="E169" s="326"/>
      <c r="F169" s="159">
        <f>F170+F172+F174</f>
        <v>17438.399999999998</v>
      </c>
      <c r="G169" s="522"/>
      <c r="H169" s="522">
        <f t="shared" ref="H169:J169" si="29">H170+H172+H174</f>
        <v>13813</v>
      </c>
      <c r="I169" s="522"/>
      <c r="J169" s="522">
        <f t="shared" si="29"/>
        <v>13813</v>
      </c>
      <c r="K169" s="522"/>
      <c r="L169" s="154"/>
      <c r="N169" s="154"/>
      <c r="O169" s="154"/>
    </row>
    <row r="170" spans="1:15" s="177" customFormat="1" ht="47.25" x14ac:dyDescent="0.25">
      <c r="A170" s="253" t="s">
        <v>41</v>
      </c>
      <c r="B170" s="191" t="s">
        <v>29</v>
      </c>
      <c r="C170" s="4">
        <v>13</v>
      </c>
      <c r="D170" s="281" t="s">
        <v>549</v>
      </c>
      <c r="E170" s="328" t="s">
        <v>127</v>
      </c>
      <c r="F170" s="159">
        <f>F171</f>
        <v>16527.099999999999</v>
      </c>
      <c r="G170" s="306"/>
      <c r="H170" s="522">
        <f>H171</f>
        <v>12901.7</v>
      </c>
      <c r="I170" s="522"/>
      <c r="J170" s="522">
        <f>J171</f>
        <v>12901.7</v>
      </c>
      <c r="K170" s="522"/>
      <c r="L170" s="154"/>
      <c r="N170" s="154"/>
      <c r="O170" s="154"/>
    </row>
    <row r="171" spans="1:15" s="177" customFormat="1" x14ac:dyDescent="0.25">
      <c r="A171" s="253" t="s">
        <v>68</v>
      </c>
      <c r="B171" s="191" t="s">
        <v>29</v>
      </c>
      <c r="C171" s="4">
        <v>13</v>
      </c>
      <c r="D171" s="281" t="s">
        <v>549</v>
      </c>
      <c r="E171" s="328" t="s">
        <v>128</v>
      </c>
      <c r="F171" s="159">
        <f>'ведом. 2025-2027'!AD96</f>
        <v>16527.099999999999</v>
      </c>
      <c r="G171" s="306"/>
      <c r="H171" s="522">
        <f>'ведом. 2025-2027'!AE96</f>
        <v>12901.7</v>
      </c>
      <c r="I171" s="522"/>
      <c r="J171" s="522">
        <f>'ведом. 2025-2027'!AF96</f>
        <v>12901.7</v>
      </c>
      <c r="K171" s="522"/>
      <c r="L171" s="154"/>
      <c r="N171" s="154"/>
      <c r="O171" s="154"/>
    </row>
    <row r="172" spans="1:15" s="177" customFormat="1" x14ac:dyDescent="0.25">
      <c r="A172" s="253" t="s">
        <v>120</v>
      </c>
      <c r="B172" s="191" t="s">
        <v>29</v>
      </c>
      <c r="C172" s="4">
        <v>13</v>
      </c>
      <c r="D172" s="281" t="s">
        <v>549</v>
      </c>
      <c r="E172" s="328" t="s">
        <v>37</v>
      </c>
      <c r="F172" s="159">
        <f>F173</f>
        <v>911.19999999999993</v>
      </c>
      <c r="G172" s="306"/>
      <c r="H172" s="522">
        <f>H173</f>
        <v>911.3</v>
      </c>
      <c r="I172" s="522"/>
      <c r="J172" s="522">
        <f>J173</f>
        <v>911.3</v>
      </c>
      <c r="K172" s="522"/>
      <c r="L172" s="154"/>
      <c r="N172" s="154"/>
      <c r="O172" s="154"/>
    </row>
    <row r="173" spans="1:15" s="177" customFormat="1" ht="31.5" x14ac:dyDescent="0.25">
      <c r="A173" s="253" t="s">
        <v>52</v>
      </c>
      <c r="B173" s="191" t="s">
        <v>29</v>
      </c>
      <c r="C173" s="4">
        <v>13</v>
      </c>
      <c r="D173" s="281" t="s">
        <v>549</v>
      </c>
      <c r="E173" s="328" t="s">
        <v>65</v>
      </c>
      <c r="F173" s="159">
        <f>'ведом. 2025-2027'!AD98</f>
        <v>911.19999999999993</v>
      </c>
      <c r="G173" s="306"/>
      <c r="H173" s="522">
        <f>'ведом. 2025-2027'!AF98</f>
        <v>911.3</v>
      </c>
      <c r="I173" s="522"/>
      <c r="J173" s="522">
        <f>'ведом. 2025-2027'!AF98</f>
        <v>911.3</v>
      </c>
      <c r="K173" s="522"/>
      <c r="L173" s="154"/>
      <c r="N173" s="154"/>
      <c r="O173" s="154"/>
    </row>
    <row r="174" spans="1:15" s="519" customFormat="1" x14ac:dyDescent="0.25">
      <c r="A174" s="451" t="s">
        <v>42</v>
      </c>
      <c r="B174" s="453" t="s">
        <v>29</v>
      </c>
      <c r="C174" s="453">
        <v>13</v>
      </c>
      <c r="D174" s="544" t="s">
        <v>549</v>
      </c>
      <c r="E174" s="473" t="s">
        <v>346</v>
      </c>
      <c r="F174" s="522">
        <f>F175</f>
        <v>0.1</v>
      </c>
      <c r="G174" s="522"/>
      <c r="H174" s="522">
        <f t="shared" ref="H174:J174" si="30">H175</f>
        <v>0</v>
      </c>
      <c r="I174" s="522"/>
      <c r="J174" s="522">
        <f t="shared" si="30"/>
        <v>0</v>
      </c>
      <c r="K174" s="522"/>
      <c r="L174" s="521"/>
      <c r="N174" s="521"/>
      <c r="O174" s="521"/>
    </row>
    <row r="175" spans="1:15" s="519" customFormat="1" x14ac:dyDescent="0.25">
      <c r="A175" s="451" t="s">
        <v>57</v>
      </c>
      <c r="B175" s="453" t="s">
        <v>29</v>
      </c>
      <c r="C175" s="453">
        <v>13</v>
      </c>
      <c r="D175" s="544" t="s">
        <v>549</v>
      </c>
      <c r="E175" s="473" t="s">
        <v>821</v>
      </c>
      <c r="F175" s="522">
        <f>'ведом. 2025-2027'!AD100</f>
        <v>0.1</v>
      </c>
      <c r="G175" s="524"/>
      <c r="H175" s="522">
        <f>'ведом. 2025-2027'!AE100</f>
        <v>0</v>
      </c>
      <c r="I175" s="522"/>
      <c r="J175" s="522">
        <f>'ведом. 2025-2027'!AF100</f>
        <v>0</v>
      </c>
      <c r="K175" s="522"/>
      <c r="L175" s="521"/>
      <c r="N175" s="521"/>
      <c r="O175" s="521"/>
    </row>
    <row r="176" spans="1:15" s="138" customFormat="1" ht="31.5" x14ac:dyDescent="0.25">
      <c r="A176" s="278" t="s">
        <v>217</v>
      </c>
      <c r="B176" s="11" t="s">
        <v>29</v>
      </c>
      <c r="C176" s="189">
        <v>13</v>
      </c>
      <c r="D176" s="281" t="s">
        <v>218</v>
      </c>
      <c r="E176" s="325"/>
      <c r="F176" s="159">
        <f>F181+F177+F179</f>
        <v>31934.3</v>
      </c>
      <c r="G176" s="522"/>
      <c r="H176" s="522">
        <f t="shared" ref="H176:J176" si="31">H181+H177+H179</f>
        <v>26390.2</v>
      </c>
      <c r="I176" s="522"/>
      <c r="J176" s="522">
        <f t="shared" si="31"/>
        <v>26390.2</v>
      </c>
      <c r="K176" s="522"/>
      <c r="L176" s="154"/>
      <c r="N176" s="154"/>
      <c r="O176" s="154"/>
    </row>
    <row r="177" spans="1:15" s="519" customFormat="1" ht="47.25" x14ac:dyDescent="0.25">
      <c r="A177" s="375" t="s">
        <v>41</v>
      </c>
      <c r="B177" s="453" t="s">
        <v>29</v>
      </c>
      <c r="C177" s="453">
        <v>13</v>
      </c>
      <c r="D177" s="281" t="s">
        <v>218</v>
      </c>
      <c r="E177" s="473" t="s">
        <v>127</v>
      </c>
      <c r="F177" s="522">
        <f>F178</f>
        <v>18572.5</v>
      </c>
      <c r="G177" s="522"/>
      <c r="H177" s="522">
        <f t="shared" ref="H177:J177" si="32">H178</f>
        <v>24918.400000000001</v>
      </c>
      <c r="I177" s="522"/>
      <c r="J177" s="522">
        <f t="shared" si="32"/>
        <v>24918.400000000001</v>
      </c>
      <c r="K177" s="522"/>
      <c r="L177" s="521"/>
      <c r="N177" s="521"/>
      <c r="O177" s="521"/>
    </row>
    <row r="178" spans="1:15" s="519" customFormat="1" x14ac:dyDescent="0.25">
      <c r="A178" s="375" t="s">
        <v>68</v>
      </c>
      <c r="B178" s="453" t="s">
        <v>29</v>
      </c>
      <c r="C178" s="453">
        <v>13</v>
      </c>
      <c r="D178" s="281" t="s">
        <v>218</v>
      </c>
      <c r="E178" s="473" t="s">
        <v>128</v>
      </c>
      <c r="F178" s="522">
        <f>'ведом. 2025-2027'!AD103</f>
        <v>18572.5</v>
      </c>
      <c r="G178" s="524"/>
      <c r="H178" s="522">
        <f>'ведом. 2025-2027'!AE103</f>
        <v>24918.400000000001</v>
      </c>
      <c r="I178" s="522"/>
      <c r="J178" s="522">
        <f>'ведом. 2025-2027'!AF103</f>
        <v>24918.400000000001</v>
      </c>
      <c r="K178" s="522"/>
      <c r="L178" s="521"/>
      <c r="N178" s="521"/>
      <c r="O178" s="521"/>
    </row>
    <row r="179" spans="1:15" s="519" customFormat="1" x14ac:dyDescent="0.25">
      <c r="A179" s="375" t="s">
        <v>120</v>
      </c>
      <c r="B179" s="453" t="s">
        <v>29</v>
      </c>
      <c r="C179" s="453">
        <v>13</v>
      </c>
      <c r="D179" s="281" t="s">
        <v>218</v>
      </c>
      <c r="E179" s="473" t="s">
        <v>37</v>
      </c>
      <c r="F179" s="522">
        <f>F180</f>
        <v>756.1</v>
      </c>
      <c r="G179" s="522"/>
      <c r="H179" s="522">
        <f t="shared" ref="H179:J179" si="33">H180</f>
        <v>1471.8</v>
      </c>
      <c r="I179" s="522"/>
      <c r="J179" s="522">
        <f t="shared" si="33"/>
        <v>1471.8</v>
      </c>
      <c r="K179" s="522"/>
      <c r="L179" s="521"/>
      <c r="N179" s="521"/>
      <c r="O179" s="521"/>
    </row>
    <row r="180" spans="1:15" s="519" customFormat="1" ht="31.5" x14ac:dyDescent="0.25">
      <c r="A180" s="375" t="s">
        <v>52</v>
      </c>
      <c r="B180" s="453" t="s">
        <v>29</v>
      </c>
      <c r="C180" s="453">
        <v>13</v>
      </c>
      <c r="D180" s="281" t="s">
        <v>218</v>
      </c>
      <c r="E180" s="473" t="s">
        <v>65</v>
      </c>
      <c r="F180" s="522">
        <f>'ведом. 2025-2027'!AD105</f>
        <v>756.1</v>
      </c>
      <c r="G180" s="524"/>
      <c r="H180" s="522">
        <f>'ведом. 2025-2027'!AE105</f>
        <v>1471.8</v>
      </c>
      <c r="I180" s="522"/>
      <c r="J180" s="522">
        <f>'ведом. 2025-2027'!AF105</f>
        <v>1471.8</v>
      </c>
      <c r="K180" s="522"/>
      <c r="L180" s="521"/>
      <c r="N180" s="521"/>
      <c r="O180" s="521"/>
    </row>
    <row r="181" spans="1:15" s="138" customFormat="1" ht="31.5" x14ac:dyDescent="0.25">
      <c r="A181" s="375" t="s">
        <v>60</v>
      </c>
      <c r="B181" s="11" t="s">
        <v>29</v>
      </c>
      <c r="C181" s="189">
        <v>13</v>
      </c>
      <c r="D181" s="281" t="s">
        <v>218</v>
      </c>
      <c r="E181" s="329">
        <v>600</v>
      </c>
      <c r="F181" s="159">
        <f>F182</f>
        <v>12605.7</v>
      </c>
      <c r="G181" s="306"/>
      <c r="H181" s="522">
        <f>H182</f>
        <v>0</v>
      </c>
      <c r="I181" s="522"/>
      <c r="J181" s="522">
        <f>J182</f>
        <v>0</v>
      </c>
      <c r="K181" s="522"/>
      <c r="L181" s="154"/>
      <c r="N181" s="154"/>
      <c r="O181" s="154"/>
    </row>
    <row r="182" spans="1:15" s="138" customFormat="1" x14ac:dyDescent="0.25">
      <c r="A182" s="375" t="s">
        <v>61</v>
      </c>
      <c r="B182" s="11" t="s">
        <v>29</v>
      </c>
      <c r="C182" s="189">
        <v>13</v>
      </c>
      <c r="D182" s="281" t="s">
        <v>218</v>
      </c>
      <c r="E182" s="329">
        <v>610</v>
      </c>
      <c r="F182" s="159">
        <f>'ведом. 2025-2027'!AD672</f>
        <v>12605.7</v>
      </c>
      <c r="G182" s="306"/>
      <c r="H182" s="522">
        <f>'ведом. 2025-2027'!AE672</f>
        <v>0</v>
      </c>
      <c r="I182" s="522"/>
      <c r="J182" s="522">
        <f>'ведом. 2025-2027'!AF672</f>
        <v>0</v>
      </c>
      <c r="K182" s="522"/>
      <c r="L182" s="154"/>
      <c r="N182" s="154"/>
      <c r="O182" s="154"/>
    </row>
    <row r="183" spans="1:15" s="138" customFormat="1" ht="31.5" x14ac:dyDescent="0.25">
      <c r="A183" s="278" t="s">
        <v>203</v>
      </c>
      <c r="B183" s="191" t="s">
        <v>29</v>
      </c>
      <c r="C183" s="4">
        <v>13</v>
      </c>
      <c r="D183" s="281" t="s">
        <v>204</v>
      </c>
      <c r="E183" s="326"/>
      <c r="F183" s="159">
        <f>F184+F189</f>
        <v>98923.4</v>
      </c>
      <c r="G183" s="306"/>
      <c r="H183" s="522">
        <f>H184+H189</f>
        <v>36987.200000000004</v>
      </c>
      <c r="I183" s="522"/>
      <c r="J183" s="522">
        <f>J184+J189</f>
        <v>36987.200000000004</v>
      </c>
      <c r="K183" s="522"/>
      <c r="L183" s="154"/>
      <c r="N183" s="154"/>
      <c r="O183" s="154"/>
    </row>
    <row r="184" spans="1:15" s="138" customFormat="1" ht="47.25" x14ac:dyDescent="0.25">
      <c r="A184" s="375" t="s">
        <v>219</v>
      </c>
      <c r="B184" s="191" t="s">
        <v>29</v>
      </c>
      <c r="C184" s="4">
        <v>13</v>
      </c>
      <c r="D184" s="281" t="s">
        <v>220</v>
      </c>
      <c r="E184" s="328"/>
      <c r="F184" s="159">
        <f>F185+F187</f>
        <v>79325.799999999988</v>
      </c>
      <c r="G184" s="159"/>
      <c r="H184" s="522">
        <f>H185+H187</f>
        <v>27679.600000000002</v>
      </c>
      <c r="I184" s="522"/>
      <c r="J184" s="522">
        <f>J185+J187</f>
        <v>27679.600000000002</v>
      </c>
      <c r="K184" s="522"/>
      <c r="L184" s="154"/>
      <c r="N184" s="154"/>
      <c r="O184" s="154"/>
    </row>
    <row r="185" spans="1:15" s="138" customFormat="1" ht="47.25" x14ac:dyDescent="0.25">
      <c r="A185" s="375" t="s">
        <v>41</v>
      </c>
      <c r="B185" s="191" t="s">
        <v>29</v>
      </c>
      <c r="C185" s="4">
        <v>13</v>
      </c>
      <c r="D185" s="281" t="s">
        <v>220</v>
      </c>
      <c r="E185" s="328" t="s">
        <v>127</v>
      </c>
      <c r="F185" s="159">
        <f>F186</f>
        <v>78583.899999999994</v>
      </c>
      <c r="G185" s="306"/>
      <c r="H185" s="522">
        <f>H186</f>
        <v>26937.7</v>
      </c>
      <c r="I185" s="522"/>
      <c r="J185" s="522">
        <f>'ведом. 2025-2027'!AF108</f>
        <v>26937.7</v>
      </c>
      <c r="K185" s="522"/>
      <c r="L185" s="154"/>
      <c r="N185" s="154"/>
      <c r="O185" s="154"/>
    </row>
    <row r="186" spans="1:15" s="138" customFormat="1" x14ac:dyDescent="0.25">
      <c r="A186" s="375" t="s">
        <v>68</v>
      </c>
      <c r="B186" s="191" t="s">
        <v>29</v>
      </c>
      <c r="C186" s="4">
        <v>13</v>
      </c>
      <c r="D186" s="281" t="s">
        <v>220</v>
      </c>
      <c r="E186" s="328" t="s">
        <v>128</v>
      </c>
      <c r="F186" s="159">
        <f>'ведом. 2025-2027'!AD109</f>
        <v>78583.899999999994</v>
      </c>
      <c r="G186" s="306"/>
      <c r="H186" s="522">
        <f>'ведом. 2025-2027'!AE109</f>
        <v>26937.7</v>
      </c>
      <c r="I186" s="522"/>
      <c r="J186" s="522">
        <f>'ведом. 2025-2027'!AF109</f>
        <v>26937.7</v>
      </c>
      <c r="K186" s="522"/>
      <c r="L186" s="154"/>
      <c r="N186" s="154"/>
      <c r="O186" s="154"/>
    </row>
    <row r="187" spans="1:15" s="138" customFormat="1" x14ac:dyDescent="0.25">
      <c r="A187" s="375" t="s">
        <v>120</v>
      </c>
      <c r="B187" s="191" t="s">
        <v>29</v>
      </c>
      <c r="C187" s="4">
        <v>13</v>
      </c>
      <c r="D187" s="281" t="s">
        <v>220</v>
      </c>
      <c r="E187" s="328" t="s">
        <v>37</v>
      </c>
      <c r="F187" s="159">
        <f>F188</f>
        <v>741.9</v>
      </c>
      <c r="G187" s="306"/>
      <c r="H187" s="522">
        <f>H188</f>
        <v>741.9</v>
      </c>
      <c r="I187" s="522"/>
      <c r="J187" s="522">
        <f>'ведом. 2025-2027'!AF110</f>
        <v>741.9</v>
      </c>
      <c r="K187" s="522"/>
      <c r="L187" s="154"/>
      <c r="N187" s="154"/>
      <c r="O187" s="154"/>
    </row>
    <row r="188" spans="1:15" s="138" customFormat="1" ht="31.5" x14ac:dyDescent="0.25">
      <c r="A188" s="375" t="s">
        <v>52</v>
      </c>
      <c r="B188" s="191" t="s">
        <v>29</v>
      </c>
      <c r="C188" s="4">
        <v>13</v>
      </c>
      <c r="D188" s="281" t="s">
        <v>220</v>
      </c>
      <c r="E188" s="328" t="s">
        <v>65</v>
      </c>
      <c r="F188" s="159">
        <f>'ведом. 2025-2027'!AD111</f>
        <v>741.9</v>
      </c>
      <c r="G188" s="306"/>
      <c r="H188" s="522">
        <f>'ведом. 2025-2027'!AE111</f>
        <v>741.9</v>
      </c>
      <c r="I188" s="522"/>
      <c r="J188" s="522">
        <f>'ведом. 2025-2027'!AF111</f>
        <v>741.9</v>
      </c>
      <c r="K188" s="522"/>
      <c r="L188" s="154"/>
      <c r="N188" s="154"/>
      <c r="O188" s="154"/>
    </row>
    <row r="189" spans="1:15" s="177" customFormat="1" ht="47.25" x14ac:dyDescent="0.25">
      <c r="A189" s="375" t="s">
        <v>383</v>
      </c>
      <c r="B189" s="191" t="s">
        <v>29</v>
      </c>
      <c r="C189" s="4">
        <v>13</v>
      </c>
      <c r="D189" s="281" t="s">
        <v>384</v>
      </c>
      <c r="E189" s="328"/>
      <c r="F189" s="159">
        <f>F190+F192+F194</f>
        <v>19597.599999999999</v>
      </c>
      <c r="G189" s="522"/>
      <c r="H189" s="522">
        <f t="shared" ref="H189:J189" si="34">H190+H192+H194</f>
        <v>9307.6</v>
      </c>
      <c r="I189" s="522"/>
      <c r="J189" s="522">
        <f t="shared" si="34"/>
        <v>9307.6</v>
      </c>
      <c r="K189" s="522"/>
      <c r="L189" s="154"/>
      <c r="N189" s="154"/>
      <c r="O189" s="154"/>
    </row>
    <row r="190" spans="1:15" s="177" customFormat="1" ht="47.25" x14ac:dyDescent="0.25">
      <c r="A190" s="375" t="s">
        <v>41</v>
      </c>
      <c r="B190" s="191" t="s">
        <v>29</v>
      </c>
      <c r="C190" s="4">
        <v>13</v>
      </c>
      <c r="D190" s="281" t="s">
        <v>384</v>
      </c>
      <c r="E190" s="328" t="s">
        <v>127</v>
      </c>
      <c r="F190" s="159">
        <f>F191</f>
        <v>18603.599999999999</v>
      </c>
      <c r="G190" s="306"/>
      <c r="H190" s="522">
        <f>H191</f>
        <v>8603.6</v>
      </c>
      <c r="I190" s="522"/>
      <c r="J190" s="522">
        <f>J191</f>
        <v>8603.6</v>
      </c>
      <c r="K190" s="522"/>
      <c r="L190" s="154"/>
      <c r="N190" s="154"/>
      <c r="O190" s="154"/>
    </row>
    <row r="191" spans="1:15" s="177" customFormat="1" x14ac:dyDescent="0.25">
      <c r="A191" s="375" t="s">
        <v>68</v>
      </c>
      <c r="B191" s="191" t="s">
        <v>29</v>
      </c>
      <c r="C191" s="4">
        <v>13</v>
      </c>
      <c r="D191" s="281" t="s">
        <v>384</v>
      </c>
      <c r="E191" s="328" t="s">
        <v>128</v>
      </c>
      <c r="F191" s="159">
        <f>'ведом. 2025-2027'!AD114</f>
        <v>18603.599999999999</v>
      </c>
      <c r="G191" s="306"/>
      <c r="H191" s="522">
        <f>'ведом. 2025-2027'!AE114</f>
        <v>8603.6</v>
      </c>
      <c r="I191" s="522"/>
      <c r="J191" s="522">
        <f>'ведом. 2025-2027'!AF114</f>
        <v>8603.6</v>
      </c>
      <c r="K191" s="522"/>
      <c r="L191" s="154"/>
      <c r="N191" s="154"/>
      <c r="O191" s="154"/>
    </row>
    <row r="192" spans="1:15" s="177" customFormat="1" x14ac:dyDescent="0.25">
      <c r="A192" s="375" t="s">
        <v>120</v>
      </c>
      <c r="B192" s="191" t="s">
        <v>29</v>
      </c>
      <c r="C192" s="4">
        <v>13</v>
      </c>
      <c r="D192" s="281" t="s">
        <v>384</v>
      </c>
      <c r="E192" s="328" t="s">
        <v>37</v>
      </c>
      <c r="F192" s="159">
        <f>F193</f>
        <v>993.3</v>
      </c>
      <c r="G192" s="306"/>
      <c r="H192" s="522">
        <f>H193</f>
        <v>704</v>
      </c>
      <c r="I192" s="522"/>
      <c r="J192" s="522">
        <f>J193</f>
        <v>704</v>
      </c>
      <c r="K192" s="522"/>
      <c r="L192" s="154"/>
      <c r="N192" s="154"/>
      <c r="O192" s="154"/>
    </row>
    <row r="193" spans="1:15" s="177" customFormat="1" ht="31.5" x14ac:dyDescent="0.25">
      <c r="A193" s="375" t="s">
        <v>52</v>
      </c>
      <c r="B193" s="191" t="s">
        <v>29</v>
      </c>
      <c r="C193" s="4">
        <v>13</v>
      </c>
      <c r="D193" s="281" t="s">
        <v>384</v>
      </c>
      <c r="E193" s="328" t="s">
        <v>65</v>
      </c>
      <c r="F193" s="159">
        <f>'ведом. 2025-2027'!AD116</f>
        <v>993.3</v>
      </c>
      <c r="G193" s="306"/>
      <c r="H193" s="522">
        <f>'ведом. 2025-2027'!AE116</f>
        <v>704</v>
      </c>
      <c r="I193" s="522"/>
      <c r="J193" s="522">
        <f>'ведом. 2025-2027'!AF116</f>
        <v>704</v>
      </c>
      <c r="K193" s="522"/>
      <c r="L193" s="154"/>
      <c r="N193" s="154"/>
      <c r="O193" s="154"/>
    </row>
    <row r="194" spans="1:15" s="519" customFormat="1" x14ac:dyDescent="0.25">
      <c r="A194" s="451" t="s">
        <v>42</v>
      </c>
      <c r="B194" s="453" t="s">
        <v>29</v>
      </c>
      <c r="C194" s="453">
        <v>13</v>
      </c>
      <c r="D194" s="544" t="s">
        <v>384</v>
      </c>
      <c r="E194" s="473" t="s">
        <v>346</v>
      </c>
      <c r="F194" s="522">
        <f>F195</f>
        <v>0.7</v>
      </c>
      <c r="G194" s="522"/>
      <c r="H194" s="522">
        <f t="shared" ref="H194:J194" si="35">H195</f>
        <v>0</v>
      </c>
      <c r="I194" s="522"/>
      <c r="J194" s="522">
        <f t="shared" si="35"/>
        <v>0</v>
      </c>
      <c r="K194" s="522"/>
      <c r="L194" s="521"/>
      <c r="N194" s="521"/>
      <c r="O194" s="521"/>
    </row>
    <row r="195" spans="1:15" s="519" customFormat="1" x14ac:dyDescent="0.25">
      <c r="A195" s="451" t="s">
        <v>57</v>
      </c>
      <c r="B195" s="453" t="s">
        <v>29</v>
      </c>
      <c r="C195" s="453">
        <v>13</v>
      </c>
      <c r="D195" s="544" t="s">
        <v>384</v>
      </c>
      <c r="E195" s="473" t="s">
        <v>821</v>
      </c>
      <c r="F195" s="522">
        <f>'ведом. 2025-2027'!AD118</f>
        <v>0.7</v>
      </c>
      <c r="G195" s="524"/>
      <c r="H195" s="522">
        <f>'ведом. 2025-2027'!AE118</f>
        <v>0</v>
      </c>
      <c r="I195" s="522"/>
      <c r="J195" s="522">
        <f>'ведом. 2025-2027'!AF118</f>
        <v>0</v>
      </c>
      <c r="K195" s="522"/>
      <c r="L195" s="521"/>
      <c r="N195" s="521"/>
      <c r="O195" s="521"/>
    </row>
    <row r="196" spans="1:15" s="519" customFormat="1" ht="31.5" x14ac:dyDescent="0.25">
      <c r="A196" s="451" t="s">
        <v>533</v>
      </c>
      <c r="B196" s="453" t="s">
        <v>29</v>
      </c>
      <c r="C196" s="454">
        <v>13</v>
      </c>
      <c r="D196" s="464" t="s">
        <v>534</v>
      </c>
      <c r="E196" s="460"/>
      <c r="F196" s="522">
        <f>F197</f>
        <v>87.2</v>
      </c>
      <c r="G196" s="522"/>
      <c r="H196" s="522">
        <f t="shared" ref="H196:J198" si="36">H197</f>
        <v>82.9</v>
      </c>
      <c r="I196" s="522"/>
      <c r="J196" s="522">
        <f t="shared" si="36"/>
        <v>84.9</v>
      </c>
      <c r="K196" s="522"/>
      <c r="L196" s="521"/>
      <c r="N196" s="521"/>
      <c r="O196" s="521"/>
    </row>
    <row r="197" spans="1:15" s="519" customFormat="1" ht="78.75" x14ac:dyDescent="0.25">
      <c r="A197" s="451" t="s">
        <v>405</v>
      </c>
      <c r="B197" s="453" t="s">
        <v>29</v>
      </c>
      <c r="C197" s="454">
        <v>13</v>
      </c>
      <c r="D197" s="458" t="s">
        <v>535</v>
      </c>
      <c r="E197" s="460"/>
      <c r="F197" s="522">
        <f>F198</f>
        <v>87.2</v>
      </c>
      <c r="G197" s="522"/>
      <c r="H197" s="522">
        <f t="shared" si="36"/>
        <v>82.9</v>
      </c>
      <c r="I197" s="522"/>
      <c r="J197" s="522">
        <f t="shared" si="36"/>
        <v>84.9</v>
      </c>
      <c r="K197" s="522"/>
      <c r="L197" s="521"/>
      <c r="N197" s="521"/>
      <c r="O197" s="521"/>
    </row>
    <row r="198" spans="1:15" s="519" customFormat="1" x14ac:dyDescent="0.25">
      <c r="A198" s="451" t="s">
        <v>120</v>
      </c>
      <c r="B198" s="453" t="s">
        <v>29</v>
      </c>
      <c r="C198" s="454">
        <v>13</v>
      </c>
      <c r="D198" s="458" t="s">
        <v>535</v>
      </c>
      <c r="E198" s="460">
        <v>200</v>
      </c>
      <c r="F198" s="522">
        <f>F199</f>
        <v>87.2</v>
      </c>
      <c r="G198" s="522"/>
      <c r="H198" s="522">
        <f t="shared" si="36"/>
        <v>82.9</v>
      </c>
      <c r="I198" s="522"/>
      <c r="J198" s="522">
        <f t="shared" si="36"/>
        <v>84.9</v>
      </c>
      <c r="K198" s="522"/>
      <c r="L198" s="521"/>
      <c r="N198" s="521"/>
      <c r="O198" s="521"/>
    </row>
    <row r="199" spans="1:15" s="519" customFormat="1" ht="31.5" x14ac:dyDescent="0.25">
      <c r="A199" s="451" t="s">
        <v>52</v>
      </c>
      <c r="B199" s="453" t="s">
        <v>29</v>
      </c>
      <c r="C199" s="454">
        <v>13</v>
      </c>
      <c r="D199" s="458" t="s">
        <v>535</v>
      </c>
      <c r="E199" s="460">
        <v>240</v>
      </c>
      <c r="F199" s="522">
        <f>'ведом. 2025-2027'!AD122</f>
        <v>87.2</v>
      </c>
      <c r="G199" s="524"/>
      <c r="H199" s="522">
        <f>'ведом. 2025-2027'!AE122</f>
        <v>82.9</v>
      </c>
      <c r="I199" s="522"/>
      <c r="J199" s="522">
        <f>'ведом. 2025-2027'!AF122</f>
        <v>84.9</v>
      </c>
      <c r="K199" s="522"/>
      <c r="L199" s="521"/>
      <c r="N199" s="521"/>
      <c r="O199" s="521"/>
    </row>
    <row r="200" spans="1:15" s="138" customFormat="1" ht="31.5" x14ac:dyDescent="0.25">
      <c r="A200" s="255" t="s">
        <v>298</v>
      </c>
      <c r="B200" s="191" t="s">
        <v>29</v>
      </c>
      <c r="C200" s="4">
        <v>13</v>
      </c>
      <c r="D200" s="156" t="s">
        <v>132</v>
      </c>
      <c r="E200" s="326"/>
      <c r="F200" s="159">
        <f t="shared" ref="F200:K200" si="37">F201</f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 t="shared" si="37"/>
        <v>20.2</v>
      </c>
      <c r="K200" s="522">
        <f t="shared" si="37"/>
        <v>20.2</v>
      </c>
      <c r="L200" s="154"/>
      <c r="N200" s="154"/>
      <c r="O200" s="154"/>
    </row>
    <row r="201" spans="1:15" s="138" customFormat="1" x14ac:dyDescent="0.25">
      <c r="A201" s="255" t="s">
        <v>48</v>
      </c>
      <c r="B201" s="191" t="s">
        <v>29</v>
      </c>
      <c r="C201" s="4">
        <v>13</v>
      </c>
      <c r="D201" s="156" t="s">
        <v>443</v>
      </c>
      <c r="E201" s="326"/>
      <c r="F201" s="159">
        <f t="shared" ref="F201:K201" si="38">F202</f>
        <v>0.6</v>
      </c>
      <c r="G201" s="306">
        <f t="shared" si="38"/>
        <v>0.6</v>
      </c>
      <c r="H201" s="522">
        <f t="shared" si="38"/>
        <v>922</v>
      </c>
      <c r="I201" s="522">
        <f t="shared" si="38"/>
        <v>922</v>
      </c>
      <c r="J201" s="522">
        <f t="shared" si="38"/>
        <v>20.2</v>
      </c>
      <c r="K201" s="522">
        <f t="shared" si="38"/>
        <v>20.2</v>
      </c>
      <c r="L201" s="154"/>
      <c r="N201" s="154"/>
      <c r="O201" s="154"/>
    </row>
    <row r="202" spans="1:15" s="138" customFormat="1" ht="31.5" x14ac:dyDescent="0.25">
      <c r="A202" s="272" t="s">
        <v>311</v>
      </c>
      <c r="B202" s="191" t="s">
        <v>29</v>
      </c>
      <c r="C202" s="4">
        <v>13</v>
      </c>
      <c r="D202" s="156" t="s">
        <v>452</v>
      </c>
      <c r="E202" s="326"/>
      <c r="F202" s="159">
        <f t="shared" ref="F202:K204" si="39">F203</f>
        <v>0.6</v>
      </c>
      <c r="G202" s="306">
        <f t="shared" si="39"/>
        <v>0.6</v>
      </c>
      <c r="H202" s="522">
        <f t="shared" si="39"/>
        <v>922</v>
      </c>
      <c r="I202" s="522">
        <f t="shared" si="39"/>
        <v>922</v>
      </c>
      <c r="J202" s="522">
        <f>'ведом. 2025-2027'!AF125</f>
        <v>20.2</v>
      </c>
      <c r="K202" s="522">
        <f t="shared" si="39"/>
        <v>20.2</v>
      </c>
      <c r="L202" s="154"/>
      <c r="N202" s="154"/>
      <c r="O202" s="154"/>
    </row>
    <row r="203" spans="1:15" s="138" customFormat="1" ht="31.5" x14ac:dyDescent="0.25">
      <c r="A203" s="271" t="s">
        <v>454</v>
      </c>
      <c r="B203" s="191" t="s">
        <v>29</v>
      </c>
      <c r="C203" s="4">
        <v>13</v>
      </c>
      <c r="D203" s="156" t="s">
        <v>453</v>
      </c>
      <c r="E203" s="326"/>
      <c r="F203" s="159">
        <f t="shared" si="39"/>
        <v>0.6</v>
      </c>
      <c r="G203" s="306">
        <f t="shared" si="39"/>
        <v>0.6</v>
      </c>
      <c r="H203" s="522">
        <f t="shared" si="39"/>
        <v>922</v>
      </c>
      <c r="I203" s="522">
        <f t="shared" si="39"/>
        <v>922</v>
      </c>
      <c r="J203" s="522">
        <f>'ведом. 2025-2027'!AF126</f>
        <v>20.2</v>
      </c>
      <c r="K203" s="522">
        <f t="shared" si="39"/>
        <v>20.2</v>
      </c>
      <c r="L203" s="154"/>
      <c r="N203" s="154"/>
      <c r="O203" s="154"/>
    </row>
    <row r="204" spans="1:15" s="138" customFormat="1" x14ac:dyDescent="0.25">
      <c r="A204" s="375" t="s">
        <v>120</v>
      </c>
      <c r="B204" s="191" t="s">
        <v>29</v>
      </c>
      <c r="C204" s="4">
        <v>13</v>
      </c>
      <c r="D204" s="156" t="s">
        <v>453</v>
      </c>
      <c r="E204" s="326">
        <v>200</v>
      </c>
      <c r="F204" s="159">
        <f t="shared" si="39"/>
        <v>0.6</v>
      </c>
      <c r="G204" s="306">
        <f t="shared" si="39"/>
        <v>0.6</v>
      </c>
      <c r="H204" s="522">
        <f t="shared" si="39"/>
        <v>922</v>
      </c>
      <c r="I204" s="522">
        <f t="shared" si="39"/>
        <v>922</v>
      </c>
      <c r="J204" s="522">
        <f>'ведом. 2025-2027'!AF127</f>
        <v>20.2</v>
      </c>
      <c r="K204" s="522">
        <f t="shared" si="39"/>
        <v>20.2</v>
      </c>
      <c r="L204" s="154"/>
      <c r="N204" s="154"/>
      <c r="O204" s="154"/>
    </row>
    <row r="205" spans="1:15" s="138" customFormat="1" ht="31.5" x14ac:dyDescent="0.25">
      <c r="A205" s="375" t="s">
        <v>52</v>
      </c>
      <c r="B205" s="191" t="s">
        <v>29</v>
      </c>
      <c r="C205" s="4">
        <v>13</v>
      </c>
      <c r="D205" s="156" t="s">
        <v>453</v>
      </c>
      <c r="E205" s="326">
        <v>240</v>
      </c>
      <c r="F205" s="159">
        <f>'ведом. 2025-2027'!AD128</f>
        <v>0.6</v>
      </c>
      <c r="G205" s="306">
        <f>F205</f>
        <v>0.6</v>
      </c>
      <c r="H205" s="522">
        <f>'ведом. 2025-2027'!AE128</f>
        <v>922</v>
      </c>
      <c r="I205" s="522">
        <f>H205</f>
        <v>922</v>
      </c>
      <c r="J205" s="522">
        <f>'ведом. 2025-2027'!AF128</f>
        <v>20.2</v>
      </c>
      <c r="K205" s="522">
        <f>J205</f>
        <v>20.2</v>
      </c>
      <c r="L205" s="154"/>
      <c r="N205" s="154"/>
      <c r="O205" s="154"/>
    </row>
    <row r="206" spans="1:15" s="138" customFormat="1" x14ac:dyDescent="0.25">
      <c r="A206" s="255" t="s">
        <v>233</v>
      </c>
      <c r="B206" s="191" t="s">
        <v>29</v>
      </c>
      <c r="C206" s="4">
        <v>13</v>
      </c>
      <c r="D206" s="156" t="s">
        <v>234</v>
      </c>
      <c r="E206" s="326"/>
      <c r="F206" s="159">
        <f>F207</f>
        <v>57349</v>
      </c>
      <c r="G206" s="522"/>
      <c r="H206" s="522">
        <f t="shared" ref="H206:J206" si="40">H207</f>
        <v>52633</v>
      </c>
      <c r="I206" s="522"/>
      <c r="J206" s="522">
        <f t="shared" si="40"/>
        <v>53039</v>
      </c>
      <c r="K206" s="522"/>
      <c r="L206" s="154"/>
      <c r="N206" s="154"/>
      <c r="O206" s="154"/>
    </row>
    <row r="207" spans="1:15" s="177" customFormat="1" x14ac:dyDescent="0.25">
      <c r="A207" s="312" t="s">
        <v>48</v>
      </c>
      <c r="B207" s="191" t="s">
        <v>29</v>
      </c>
      <c r="C207" s="4">
        <v>13</v>
      </c>
      <c r="D207" s="156" t="s">
        <v>536</v>
      </c>
      <c r="E207" s="326"/>
      <c r="F207" s="159">
        <f>F208</f>
        <v>57349</v>
      </c>
      <c r="G207" s="306"/>
      <c r="H207" s="522">
        <f>H208</f>
        <v>52633</v>
      </c>
      <c r="I207" s="522"/>
      <c r="J207" s="522">
        <f>J208</f>
        <v>53039</v>
      </c>
      <c r="K207" s="522"/>
      <c r="L207" s="154"/>
      <c r="N207" s="154"/>
      <c r="O207" s="154"/>
    </row>
    <row r="208" spans="1:15" s="177" customFormat="1" ht="31.5" x14ac:dyDescent="0.25">
      <c r="A208" s="312" t="s">
        <v>327</v>
      </c>
      <c r="B208" s="191" t="s">
        <v>29</v>
      </c>
      <c r="C208" s="4">
        <v>13</v>
      </c>
      <c r="D208" s="156" t="s">
        <v>537</v>
      </c>
      <c r="E208" s="326"/>
      <c r="F208" s="159">
        <f>F209</f>
        <v>57349</v>
      </c>
      <c r="G208" s="306"/>
      <c r="H208" s="522">
        <f>H209</f>
        <v>52633</v>
      </c>
      <c r="I208" s="522"/>
      <c r="J208" s="522">
        <f>J209</f>
        <v>53039</v>
      </c>
      <c r="K208" s="522"/>
      <c r="L208" s="154"/>
      <c r="N208" s="154"/>
      <c r="O208" s="154"/>
    </row>
    <row r="209" spans="1:15" s="177" customFormat="1" ht="31.5" x14ac:dyDescent="0.25">
      <c r="A209" s="312" t="s">
        <v>235</v>
      </c>
      <c r="B209" s="191" t="s">
        <v>29</v>
      </c>
      <c r="C209" s="4">
        <v>13</v>
      </c>
      <c r="D209" s="156" t="s">
        <v>538</v>
      </c>
      <c r="E209" s="326"/>
      <c r="F209" s="159">
        <f>F210</f>
        <v>57349</v>
      </c>
      <c r="G209" s="306"/>
      <c r="H209" s="522">
        <f>H210</f>
        <v>52633</v>
      </c>
      <c r="I209" s="522"/>
      <c r="J209" s="522">
        <f>J210</f>
        <v>53039</v>
      </c>
      <c r="K209" s="522"/>
      <c r="L209" s="154"/>
      <c r="N209" s="154"/>
      <c r="O209" s="154"/>
    </row>
    <row r="210" spans="1:15" s="177" customFormat="1" ht="31.5" x14ac:dyDescent="0.25">
      <c r="A210" s="253" t="s">
        <v>60</v>
      </c>
      <c r="B210" s="191" t="s">
        <v>29</v>
      </c>
      <c r="C210" s="4">
        <v>13</v>
      </c>
      <c r="D210" s="156" t="s">
        <v>538</v>
      </c>
      <c r="E210" s="326">
        <v>600</v>
      </c>
      <c r="F210" s="159">
        <f>F211</f>
        <v>57349</v>
      </c>
      <c r="G210" s="306"/>
      <c r="H210" s="522">
        <f>H211</f>
        <v>52633</v>
      </c>
      <c r="I210" s="522"/>
      <c r="J210" s="522">
        <f>J211</f>
        <v>53039</v>
      </c>
      <c r="K210" s="522"/>
      <c r="L210" s="154"/>
      <c r="N210" s="154"/>
      <c r="O210" s="154"/>
    </row>
    <row r="211" spans="1:15" s="177" customFormat="1" x14ac:dyDescent="0.25">
      <c r="A211" s="253" t="s">
        <v>61</v>
      </c>
      <c r="B211" s="191" t="s">
        <v>29</v>
      </c>
      <c r="C211" s="4">
        <v>13</v>
      </c>
      <c r="D211" s="156" t="s">
        <v>538</v>
      </c>
      <c r="E211" s="326">
        <v>610</v>
      </c>
      <c r="F211" s="159">
        <f>'ведом. 2025-2027'!AD134</f>
        <v>57349</v>
      </c>
      <c r="G211" s="306"/>
      <c r="H211" s="522">
        <f>'ведом. 2025-2027'!AE134</f>
        <v>52633</v>
      </c>
      <c r="I211" s="522"/>
      <c r="J211" s="522">
        <f>'ведом. 2025-2027'!AF134</f>
        <v>53039</v>
      </c>
      <c r="K211" s="522"/>
      <c r="L211" s="154"/>
      <c r="N211" s="154"/>
      <c r="O211" s="154"/>
    </row>
    <row r="212" spans="1:15" s="138" customFormat="1" x14ac:dyDescent="0.25">
      <c r="A212" s="255" t="s">
        <v>225</v>
      </c>
      <c r="B212" s="191" t="s">
        <v>29</v>
      </c>
      <c r="C212" s="4">
        <v>13</v>
      </c>
      <c r="D212" s="156" t="s">
        <v>137</v>
      </c>
      <c r="E212" s="328"/>
      <c r="F212" s="159">
        <f>F216+F213</f>
        <v>23221.200000000001</v>
      </c>
      <c r="G212" s="522"/>
      <c r="H212" s="522">
        <f t="shared" ref="H212:J212" si="41">H216+H213</f>
        <v>1505.8999999999996</v>
      </c>
      <c r="I212" s="522"/>
      <c r="J212" s="522">
        <f t="shared" si="41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793</v>
      </c>
      <c r="B213" s="453" t="s">
        <v>29</v>
      </c>
      <c r="C213" s="453">
        <v>13</v>
      </c>
      <c r="D213" s="542" t="s">
        <v>794</v>
      </c>
      <c r="E213" s="454"/>
      <c r="F213" s="522">
        <f>F214</f>
        <v>159.80000000000001</v>
      </c>
      <c r="G213" s="522"/>
      <c r="H213" s="522">
        <f t="shared" ref="H213:J213" si="42">H214</f>
        <v>0</v>
      </c>
      <c r="I213" s="522"/>
      <c r="J213" s="522">
        <f t="shared" si="42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53" t="s">
        <v>29</v>
      </c>
      <c r="C214" s="453">
        <v>13</v>
      </c>
      <c r="D214" s="542" t="s">
        <v>794</v>
      </c>
      <c r="E214" s="454">
        <v>800</v>
      </c>
      <c r="F214" s="522">
        <f>F215</f>
        <v>159.80000000000001</v>
      </c>
      <c r="G214" s="522"/>
      <c r="H214" s="522">
        <f t="shared" ref="H214:J214" si="43">H215</f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795</v>
      </c>
      <c r="B215" s="453" t="s">
        <v>29</v>
      </c>
      <c r="C215" s="453">
        <v>13</v>
      </c>
      <c r="D215" s="542" t="s">
        <v>794</v>
      </c>
      <c r="E215" s="454">
        <v>830</v>
      </c>
      <c r="F215" s="522">
        <f>'ведом. 2025-2027'!AD640+'ведом. 2025-2027'!AD138</f>
        <v>159.80000000000001</v>
      </c>
      <c r="G215" s="522"/>
      <c r="H215" s="522">
        <f>'ведом. 2025-2027'!AE640+'ведом. 2025-2027'!AE138</f>
        <v>0</v>
      </c>
      <c r="I215" s="522"/>
      <c r="J215" s="522">
        <f>'ведом. 2025-2027'!AF640+'ведом. 2025-2027'!AF138</f>
        <v>0</v>
      </c>
      <c r="K215" s="522"/>
      <c r="L215" s="521"/>
      <c r="N215" s="521"/>
      <c r="O215" s="521"/>
    </row>
    <row r="216" spans="1:15" s="177" customFormat="1" x14ac:dyDescent="0.25">
      <c r="A216" s="383" t="s">
        <v>426</v>
      </c>
      <c r="B216" s="192" t="s">
        <v>29</v>
      </c>
      <c r="C216" s="186">
        <v>13</v>
      </c>
      <c r="D216" s="262" t="s">
        <v>427</v>
      </c>
      <c r="E216" s="327"/>
      <c r="F216" s="159">
        <f>F220+F217</f>
        <v>23061.4</v>
      </c>
      <c r="G216" s="522"/>
      <c r="H216" s="522">
        <f t="shared" ref="H216:J216" si="44">H220+H217</f>
        <v>1505.8999999999996</v>
      </c>
      <c r="I216" s="522"/>
      <c r="J216" s="522">
        <f t="shared" si="44"/>
        <v>2562.7000000000003</v>
      </c>
      <c r="K216" s="522"/>
      <c r="L216" s="154"/>
      <c r="N216" s="154"/>
      <c r="O216" s="154"/>
    </row>
    <row r="217" spans="1:15" s="519" customFormat="1" x14ac:dyDescent="0.25">
      <c r="A217" s="451" t="s">
        <v>796</v>
      </c>
      <c r="B217" s="469" t="s">
        <v>29</v>
      </c>
      <c r="C217" s="470">
        <v>13</v>
      </c>
      <c r="D217" s="697" t="s">
        <v>797</v>
      </c>
      <c r="E217" s="698"/>
      <c r="F217" s="522">
        <f>F218</f>
        <v>150</v>
      </c>
      <c r="G217" s="522"/>
      <c r="H217" s="522">
        <f t="shared" ref="H217:J218" si="45">H218</f>
        <v>0</v>
      </c>
      <c r="I217" s="522"/>
      <c r="J217" s="522">
        <f t="shared" si="45"/>
        <v>0</v>
      </c>
      <c r="K217" s="522"/>
      <c r="L217" s="521"/>
      <c r="N217" s="521"/>
      <c r="O217" s="521"/>
    </row>
    <row r="218" spans="1:15" s="519" customFormat="1" x14ac:dyDescent="0.25">
      <c r="A218" s="451" t="s">
        <v>42</v>
      </c>
      <c r="B218" s="469" t="s">
        <v>29</v>
      </c>
      <c r="C218" s="470">
        <v>13</v>
      </c>
      <c r="D218" s="697" t="s">
        <v>797</v>
      </c>
      <c r="E218" s="698">
        <v>800</v>
      </c>
      <c r="F218" s="522">
        <f>F219</f>
        <v>150</v>
      </c>
      <c r="G218" s="522"/>
      <c r="H218" s="522">
        <f t="shared" si="45"/>
        <v>0</v>
      </c>
      <c r="I218" s="522"/>
      <c r="J218" s="522">
        <f t="shared" si="45"/>
        <v>0</v>
      </c>
      <c r="K218" s="522"/>
      <c r="L218" s="521"/>
      <c r="N218" s="521"/>
      <c r="O218" s="521"/>
    </row>
    <row r="219" spans="1:15" s="519" customFormat="1" x14ac:dyDescent="0.25">
      <c r="A219" s="451" t="s">
        <v>57</v>
      </c>
      <c r="B219" s="469" t="s">
        <v>29</v>
      </c>
      <c r="C219" s="470">
        <v>13</v>
      </c>
      <c r="D219" s="697" t="s">
        <v>797</v>
      </c>
      <c r="E219" s="698">
        <v>850</v>
      </c>
      <c r="F219" s="522">
        <f>'ведом. 2025-2027'!AD142</f>
        <v>150</v>
      </c>
      <c r="G219" s="524"/>
      <c r="H219" s="522">
        <f>'ведом. 2025-2027'!AE142</f>
        <v>0</v>
      </c>
      <c r="I219" s="522"/>
      <c r="J219" s="522">
        <f>'ведом. 2025-2027'!AF142</f>
        <v>0</v>
      </c>
      <c r="K219" s="522"/>
      <c r="L219" s="521"/>
      <c r="N219" s="521"/>
      <c r="O219" s="521"/>
    </row>
    <row r="220" spans="1:15" s="199" customFormat="1" ht="31.5" x14ac:dyDescent="0.25">
      <c r="A220" s="253" t="s">
        <v>429</v>
      </c>
      <c r="B220" s="192" t="s">
        <v>29</v>
      </c>
      <c r="C220" s="186">
        <v>13</v>
      </c>
      <c r="D220" s="282" t="s">
        <v>430</v>
      </c>
      <c r="E220" s="327"/>
      <c r="F220" s="159">
        <f>F221</f>
        <v>22911.4</v>
      </c>
      <c r="G220" s="306"/>
      <c r="H220" s="522">
        <f>H221</f>
        <v>1505.8999999999996</v>
      </c>
      <c r="I220" s="522"/>
      <c r="J220" s="522">
        <f>J221</f>
        <v>2562.7000000000003</v>
      </c>
      <c r="K220" s="522"/>
      <c r="L220" s="198"/>
      <c r="N220" s="198"/>
      <c r="O220" s="198"/>
    </row>
    <row r="221" spans="1:15" s="199" customFormat="1" x14ac:dyDescent="0.25">
      <c r="A221" s="253" t="s">
        <v>42</v>
      </c>
      <c r="B221" s="192" t="s">
        <v>29</v>
      </c>
      <c r="C221" s="186">
        <v>13</v>
      </c>
      <c r="D221" s="282" t="s">
        <v>430</v>
      </c>
      <c r="E221" s="327">
        <v>800</v>
      </c>
      <c r="F221" s="159">
        <f>F222</f>
        <v>22911.4</v>
      </c>
      <c r="G221" s="306"/>
      <c r="H221" s="522">
        <f>H222</f>
        <v>1505.8999999999996</v>
      </c>
      <c r="I221" s="522"/>
      <c r="J221" s="522">
        <f>J222</f>
        <v>2562.7000000000003</v>
      </c>
      <c r="K221" s="522"/>
      <c r="L221" s="198"/>
      <c r="N221" s="198"/>
      <c r="O221" s="198"/>
    </row>
    <row r="222" spans="1:15" s="199" customFormat="1" x14ac:dyDescent="0.25">
      <c r="A222" s="253" t="s">
        <v>136</v>
      </c>
      <c r="B222" s="192" t="s">
        <v>29</v>
      </c>
      <c r="C222" s="186">
        <v>13</v>
      </c>
      <c r="D222" s="282" t="s">
        <v>430</v>
      </c>
      <c r="E222" s="327">
        <v>870</v>
      </c>
      <c r="F222" s="159">
        <f>'ведом. 2025-2027'!AD600</f>
        <v>22911.4</v>
      </c>
      <c r="G222" s="306"/>
      <c r="H222" s="522">
        <f>'ведом. 2025-2027'!AE600</f>
        <v>1505.8999999999996</v>
      </c>
      <c r="I222" s="522"/>
      <c r="J222" s="522">
        <f>'ведом. 2025-2027'!AF600</f>
        <v>2562.7000000000003</v>
      </c>
      <c r="K222" s="522"/>
      <c r="L222" s="198"/>
      <c r="N222" s="198"/>
      <c r="O222" s="198"/>
    </row>
    <row r="223" spans="1:15" s="138" customFormat="1" x14ac:dyDescent="0.25">
      <c r="A223" s="384" t="s">
        <v>11</v>
      </c>
      <c r="B223" s="193" t="s">
        <v>30</v>
      </c>
      <c r="C223" s="188"/>
      <c r="D223" s="280"/>
      <c r="E223" s="330"/>
      <c r="F223" s="161">
        <f t="shared" ref="F223:K223" si="46">F224+F231</f>
        <v>5306.4</v>
      </c>
      <c r="G223" s="347">
        <f t="shared" si="46"/>
        <v>4656.3999999999996</v>
      </c>
      <c r="H223" s="161">
        <f t="shared" si="46"/>
        <v>5095.3</v>
      </c>
      <c r="I223" s="161">
        <f t="shared" si="46"/>
        <v>5021.3</v>
      </c>
      <c r="J223" s="161">
        <f t="shared" si="46"/>
        <v>5267.1</v>
      </c>
      <c r="K223" s="161">
        <f t="shared" si="46"/>
        <v>5193.1000000000004</v>
      </c>
      <c r="L223" s="154"/>
      <c r="N223" s="154"/>
      <c r="O223" s="154"/>
    </row>
    <row r="224" spans="1:15" s="138" customFormat="1" x14ac:dyDescent="0.25">
      <c r="A224" s="375" t="s">
        <v>12</v>
      </c>
      <c r="B224" s="191" t="s">
        <v>30</v>
      </c>
      <c r="C224" s="4" t="s">
        <v>7</v>
      </c>
      <c r="D224" s="26"/>
      <c r="E224" s="325"/>
      <c r="F224" s="159">
        <f t="shared" ref="F224:K229" si="47">F225</f>
        <v>4656.3999999999996</v>
      </c>
      <c r="G224" s="306">
        <f t="shared" si="47"/>
        <v>4656.3999999999996</v>
      </c>
      <c r="H224" s="522">
        <f t="shared" si="47"/>
        <v>5021.3</v>
      </c>
      <c r="I224" s="522">
        <f t="shared" si="47"/>
        <v>5021.3</v>
      </c>
      <c r="J224" s="522">
        <f t="shared" si="47"/>
        <v>5193.1000000000004</v>
      </c>
      <c r="K224" s="522">
        <f t="shared" si="47"/>
        <v>5193.1000000000004</v>
      </c>
      <c r="L224" s="154"/>
      <c r="N224" s="154"/>
      <c r="O224" s="154"/>
    </row>
    <row r="225" spans="1:15" s="138" customFormat="1" ht="31.5" x14ac:dyDescent="0.25">
      <c r="A225" s="255" t="s">
        <v>298</v>
      </c>
      <c r="B225" s="191" t="s">
        <v>30</v>
      </c>
      <c r="C225" s="4" t="s">
        <v>7</v>
      </c>
      <c r="D225" s="156" t="s">
        <v>132</v>
      </c>
      <c r="E225" s="325"/>
      <c r="F225" s="159">
        <f t="shared" si="47"/>
        <v>4656.3999999999996</v>
      </c>
      <c r="G225" s="306">
        <f t="shared" si="47"/>
        <v>4656.3999999999996</v>
      </c>
      <c r="H225" s="522">
        <f t="shared" si="47"/>
        <v>5021.3</v>
      </c>
      <c r="I225" s="522">
        <f t="shared" si="47"/>
        <v>5021.3</v>
      </c>
      <c r="J225" s="522">
        <f t="shared" si="47"/>
        <v>5193.1000000000004</v>
      </c>
      <c r="K225" s="522">
        <f t="shared" si="47"/>
        <v>5193.1000000000004</v>
      </c>
      <c r="L225" s="154"/>
      <c r="N225" s="154"/>
      <c r="O225" s="154"/>
    </row>
    <row r="226" spans="1:15" s="138" customFormat="1" x14ac:dyDescent="0.25">
      <c r="A226" s="255" t="s">
        <v>48</v>
      </c>
      <c r="B226" s="191" t="s">
        <v>30</v>
      </c>
      <c r="C226" s="4" t="s">
        <v>7</v>
      </c>
      <c r="D226" s="156" t="s">
        <v>443</v>
      </c>
      <c r="E226" s="325"/>
      <c r="F226" s="159">
        <f t="shared" ref="F226:K228" si="48">F227</f>
        <v>4656.3999999999996</v>
      </c>
      <c r="G226" s="306">
        <f t="shared" si="48"/>
        <v>4656.3999999999996</v>
      </c>
      <c r="H226" s="522">
        <f t="shared" si="48"/>
        <v>5021.3</v>
      </c>
      <c r="I226" s="522">
        <f t="shared" si="48"/>
        <v>5021.3</v>
      </c>
      <c r="J226" s="522">
        <f t="shared" si="48"/>
        <v>5193.1000000000004</v>
      </c>
      <c r="K226" s="522">
        <f t="shared" si="48"/>
        <v>5193.1000000000004</v>
      </c>
      <c r="L226" s="154"/>
      <c r="N226" s="154"/>
      <c r="O226" s="154"/>
    </row>
    <row r="227" spans="1:15" s="138" customFormat="1" x14ac:dyDescent="0.25">
      <c r="A227" s="278" t="s">
        <v>456</v>
      </c>
      <c r="B227" s="191" t="s">
        <v>30</v>
      </c>
      <c r="C227" s="4" t="s">
        <v>7</v>
      </c>
      <c r="D227" s="156" t="s">
        <v>444</v>
      </c>
      <c r="E227" s="325"/>
      <c r="F227" s="159">
        <f t="shared" si="48"/>
        <v>4656.3999999999996</v>
      </c>
      <c r="G227" s="306">
        <f t="shared" si="48"/>
        <v>4656.3999999999996</v>
      </c>
      <c r="H227" s="522">
        <f t="shared" si="48"/>
        <v>5021.3</v>
      </c>
      <c r="I227" s="522">
        <f t="shared" si="48"/>
        <v>5021.3</v>
      </c>
      <c r="J227" s="522">
        <f t="shared" si="48"/>
        <v>5193.1000000000004</v>
      </c>
      <c r="K227" s="522">
        <f t="shared" si="48"/>
        <v>5193.1000000000004</v>
      </c>
      <c r="L227" s="154"/>
      <c r="N227" s="154"/>
      <c r="O227" s="154"/>
    </row>
    <row r="228" spans="1:15" s="138" customFormat="1" ht="31.5" x14ac:dyDescent="0.25">
      <c r="A228" s="255" t="s">
        <v>455</v>
      </c>
      <c r="B228" s="191" t="s">
        <v>30</v>
      </c>
      <c r="C228" s="4" t="s">
        <v>7</v>
      </c>
      <c r="D228" s="156" t="s">
        <v>451</v>
      </c>
      <c r="E228" s="331"/>
      <c r="F228" s="159">
        <f>F229</f>
        <v>4656.3999999999996</v>
      </c>
      <c r="G228" s="159">
        <f t="shared" si="48"/>
        <v>4656.3999999999996</v>
      </c>
      <c r="H228" s="522">
        <f t="shared" si="48"/>
        <v>5021.3</v>
      </c>
      <c r="I228" s="522">
        <f t="shared" si="48"/>
        <v>5021.3</v>
      </c>
      <c r="J228" s="522">
        <f t="shared" si="48"/>
        <v>5193.1000000000004</v>
      </c>
      <c r="K228" s="522">
        <f t="shared" si="48"/>
        <v>5193.1000000000004</v>
      </c>
      <c r="L228" s="154"/>
      <c r="N228" s="154"/>
      <c r="O228" s="154"/>
    </row>
    <row r="229" spans="1:15" s="138" customFormat="1" ht="47.25" x14ac:dyDescent="0.25">
      <c r="A229" s="375" t="s">
        <v>41</v>
      </c>
      <c r="B229" s="191" t="s">
        <v>30</v>
      </c>
      <c r="C229" s="4" t="s">
        <v>7</v>
      </c>
      <c r="D229" s="156" t="s">
        <v>451</v>
      </c>
      <c r="E229" s="326">
        <v>100</v>
      </c>
      <c r="F229" s="159">
        <f t="shared" si="47"/>
        <v>4656.3999999999996</v>
      </c>
      <c r="G229" s="306">
        <f t="shared" si="47"/>
        <v>4656.3999999999996</v>
      </c>
      <c r="H229" s="522">
        <f t="shared" si="47"/>
        <v>5021.3</v>
      </c>
      <c r="I229" s="522">
        <f t="shared" si="47"/>
        <v>5021.3</v>
      </c>
      <c r="J229" s="522">
        <f t="shared" si="47"/>
        <v>5193.1000000000004</v>
      </c>
      <c r="K229" s="522">
        <f t="shared" si="47"/>
        <v>5193.1000000000004</v>
      </c>
      <c r="L229" s="154"/>
      <c r="N229" s="154"/>
      <c r="O229" s="154"/>
    </row>
    <row r="230" spans="1:15" s="138" customFormat="1" x14ac:dyDescent="0.25">
      <c r="A230" s="375" t="s">
        <v>96</v>
      </c>
      <c r="B230" s="191" t="s">
        <v>30</v>
      </c>
      <c r="C230" s="4" t="s">
        <v>7</v>
      </c>
      <c r="D230" s="156" t="s">
        <v>451</v>
      </c>
      <c r="E230" s="326">
        <v>120</v>
      </c>
      <c r="F230" s="159">
        <f>'ведом. 2025-2027'!AD150</f>
        <v>4656.3999999999996</v>
      </c>
      <c r="G230" s="306">
        <f>F230</f>
        <v>4656.3999999999996</v>
      </c>
      <c r="H230" s="522">
        <f>'ведом. 2025-2027'!AE150</f>
        <v>5021.3</v>
      </c>
      <c r="I230" s="522">
        <f>H230</f>
        <v>5021.3</v>
      </c>
      <c r="J230" s="522">
        <f>'ведом. 2025-2027'!AF150</f>
        <v>5193.1000000000004</v>
      </c>
      <c r="K230" s="522">
        <f>J230</f>
        <v>5193.1000000000004</v>
      </c>
      <c r="L230" s="154"/>
      <c r="N230" s="154"/>
      <c r="O230" s="154"/>
    </row>
    <row r="231" spans="1:15" s="138" customFormat="1" x14ac:dyDescent="0.25">
      <c r="A231" s="375" t="s">
        <v>47</v>
      </c>
      <c r="B231" s="191" t="s">
        <v>30</v>
      </c>
      <c r="C231" s="4" t="s">
        <v>49</v>
      </c>
      <c r="D231" s="26"/>
      <c r="E231" s="326"/>
      <c r="F231" s="159">
        <f t="shared" ref="F231:J236" si="49">F232</f>
        <v>650</v>
      </c>
      <c r="G231" s="306"/>
      <c r="H231" s="522">
        <f t="shared" si="49"/>
        <v>74</v>
      </c>
      <c r="I231" s="522"/>
      <c r="J231" s="522">
        <f t="shared" si="49"/>
        <v>74</v>
      </c>
      <c r="K231" s="522"/>
      <c r="L231" s="154"/>
      <c r="N231" s="154"/>
      <c r="O231" s="154"/>
    </row>
    <row r="232" spans="1:15" s="138" customFormat="1" x14ac:dyDescent="0.25">
      <c r="A232" s="255" t="s">
        <v>186</v>
      </c>
      <c r="B232" s="191" t="s">
        <v>30</v>
      </c>
      <c r="C232" s="4" t="s">
        <v>49</v>
      </c>
      <c r="D232" s="156" t="s">
        <v>112</v>
      </c>
      <c r="E232" s="326"/>
      <c r="F232" s="159">
        <f t="shared" si="49"/>
        <v>650</v>
      </c>
      <c r="G232" s="306"/>
      <c r="H232" s="522">
        <f t="shared" si="49"/>
        <v>74</v>
      </c>
      <c r="I232" s="522"/>
      <c r="J232" s="522">
        <f t="shared" si="49"/>
        <v>74</v>
      </c>
      <c r="K232" s="522"/>
      <c r="L232" s="154"/>
      <c r="N232" s="154"/>
      <c r="O232" s="154"/>
    </row>
    <row r="233" spans="1:15" s="138" customFormat="1" x14ac:dyDescent="0.25">
      <c r="A233" s="255" t="s">
        <v>189</v>
      </c>
      <c r="B233" s="191" t="s">
        <v>30</v>
      </c>
      <c r="C233" s="4" t="s">
        <v>49</v>
      </c>
      <c r="D233" s="156" t="s">
        <v>190</v>
      </c>
      <c r="E233" s="326"/>
      <c r="F233" s="159">
        <f t="shared" si="49"/>
        <v>650</v>
      </c>
      <c r="G233" s="306"/>
      <c r="H233" s="522">
        <f t="shared" si="49"/>
        <v>74</v>
      </c>
      <c r="I233" s="522"/>
      <c r="J233" s="522">
        <f t="shared" si="49"/>
        <v>74</v>
      </c>
      <c r="K233" s="522"/>
      <c r="L233" s="154"/>
      <c r="N233" s="154"/>
      <c r="O233" s="154"/>
    </row>
    <row r="234" spans="1:15" s="138" customFormat="1" ht="31.5" x14ac:dyDescent="0.25">
      <c r="A234" s="255" t="s">
        <v>191</v>
      </c>
      <c r="B234" s="191" t="s">
        <v>30</v>
      </c>
      <c r="C234" s="4" t="s">
        <v>49</v>
      </c>
      <c r="D234" s="156" t="s">
        <v>192</v>
      </c>
      <c r="E234" s="326"/>
      <c r="F234" s="159">
        <f t="shared" si="49"/>
        <v>650</v>
      </c>
      <c r="G234" s="306"/>
      <c r="H234" s="522">
        <f t="shared" si="49"/>
        <v>74</v>
      </c>
      <c r="I234" s="522"/>
      <c r="J234" s="522">
        <f t="shared" si="49"/>
        <v>74</v>
      </c>
      <c r="K234" s="522"/>
      <c r="L234" s="154"/>
      <c r="N234" s="154"/>
      <c r="O234" s="154"/>
    </row>
    <row r="235" spans="1:15" s="138" customFormat="1" x14ac:dyDescent="0.25">
      <c r="A235" s="278" t="s">
        <v>221</v>
      </c>
      <c r="B235" s="191" t="s">
        <v>30</v>
      </c>
      <c r="C235" s="4" t="s">
        <v>49</v>
      </c>
      <c r="D235" s="281" t="s">
        <v>222</v>
      </c>
      <c r="E235" s="330"/>
      <c r="F235" s="159">
        <f t="shared" si="49"/>
        <v>650</v>
      </c>
      <c r="G235" s="306"/>
      <c r="H235" s="522">
        <f t="shared" si="49"/>
        <v>74</v>
      </c>
      <c r="I235" s="522"/>
      <c r="J235" s="522">
        <f t="shared" si="49"/>
        <v>74</v>
      </c>
      <c r="K235" s="522"/>
      <c r="L235" s="154"/>
      <c r="N235" s="154"/>
      <c r="O235" s="154"/>
    </row>
    <row r="236" spans="1:15" s="138" customFormat="1" x14ac:dyDescent="0.25">
      <c r="A236" s="375" t="s">
        <v>120</v>
      </c>
      <c r="B236" s="191" t="s">
        <v>30</v>
      </c>
      <c r="C236" s="4" t="s">
        <v>49</v>
      </c>
      <c r="D236" s="281" t="s">
        <v>222</v>
      </c>
      <c r="E236" s="332">
        <v>200</v>
      </c>
      <c r="F236" s="159">
        <f t="shared" si="49"/>
        <v>650</v>
      </c>
      <c r="G236" s="306"/>
      <c r="H236" s="522">
        <f t="shared" si="49"/>
        <v>74</v>
      </c>
      <c r="I236" s="522"/>
      <c r="J236" s="522">
        <f t="shared" si="49"/>
        <v>74</v>
      </c>
      <c r="K236" s="522"/>
      <c r="L236" s="154"/>
      <c r="N236" s="154"/>
      <c r="O236" s="154"/>
    </row>
    <row r="237" spans="1:15" s="138" customFormat="1" ht="31.5" x14ac:dyDescent="0.25">
      <c r="A237" s="375" t="s">
        <v>52</v>
      </c>
      <c r="B237" s="191" t="s">
        <v>30</v>
      </c>
      <c r="C237" s="4" t="s">
        <v>49</v>
      </c>
      <c r="D237" s="281" t="s">
        <v>222</v>
      </c>
      <c r="E237" s="332">
        <v>240</v>
      </c>
      <c r="F237" s="159">
        <f>'ведом. 2025-2027'!AD157</f>
        <v>650</v>
      </c>
      <c r="G237" s="306"/>
      <c r="H237" s="522">
        <f>'ведом. 2025-2027'!AE157</f>
        <v>74</v>
      </c>
      <c r="I237" s="522"/>
      <c r="J237" s="522">
        <f>'ведом. 2025-2027'!AF157</f>
        <v>74</v>
      </c>
      <c r="K237" s="522"/>
      <c r="L237" s="154"/>
      <c r="N237" s="154"/>
      <c r="O237" s="154"/>
    </row>
    <row r="238" spans="1:15" s="138" customFormat="1" x14ac:dyDescent="0.25">
      <c r="A238" s="384" t="s">
        <v>46</v>
      </c>
      <c r="B238" s="193" t="s">
        <v>7</v>
      </c>
      <c r="C238" s="188"/>
      <c r="D238" s="280"/>
      <c r="E238" s="330"/>
      <c r="F238" s="161">
        <f>F239+F254+F294</f>
        <v>51871.6</v>
      </c>
      <c r="G238" s="347"/>
      <c r="H238" s="161">
        <f>H239+H254+H294</f>
        <v>24976.799999999999</v>
      </c>
      <c r="I238" s="161"/>
      <c r="J238" s="161">
        <f>J239+J254+J294</f>
        <v>22943.199999999997</v>
      </c>
      <c r="K238" s="161"/>
      <c r="L238" s="154"/>
      <c r="N238" s="154"/>
      <c r="O238" s="154"/>
    </row>
    <row r="239" spans="1:15" s="138" customFormat="1" x14ac:dyDescent="0.25">
      <c r="A239" s="253" t="s">
        <v>364</v>
      </c>
      <c r="B239" s="191" t="s">
        <v>7</v>
      </c>
      <c r="C239" s="4" t="s">
        <v>22</v>
      </c>
      <c r="D239" s="26"/>
      <c r="E239" s="325"/>
      <c r="F239" s="159">
        <f>F240</f>
        <v>1278.4000000000001</v>
      </c>
      <c r="G239" s="306"/>
      <c r="H239" s="522">
        <f>H240</f>
        <v>1177</v>
      </c>
      <c r="I239" s="522"/>
      <c r="J239" s="522">
        <f>J240</f>
        <v>1177</v>
      </c>
      <c r="K239" s="522"/>
      <c r="L239" s="154"/>
      <c r="N239" s="154"/>
      <c r="O239" s="154"/>
    </row>
    <row r="240" spans="1:15" s="138" customFormat="1" ht="31.5" x14ac:dyDescent="0.25">
      <c r="A240" s="259" t="s">
        <v>161</v>
      </c>
      <c r="B240" s="191" t="s">
        <v>7</v>
      </c>
      <c r="C240" s="4" t="s">
        <v>22</v>
      </c>
      <c r="D240" s="26" t="s">
        <v>102</v>
      </c>
      <c r="E240" s="325"/>
      <c r="F240" s="159">
        <f>F241</f>
        <v>1278.4000000000001</v>
      </c>
      <c r="G240" s="306"/>
      <c r="H240" s="522">
        <f>H241</f>
        <v>1177</v>
      </c>
      <c r="I240" s="522"/>
      <c r="J240" s="522">
        <f>J241</f>
        <v>1177</v>
      </c>
      <c r="K240" s="522"/>
      <c r="L240" s="154"/>
      <c r="N240" s="154"/>
      <c r="O240" s="154"/>
    </row>
    <row r="241" spans="1:15" s="138" customFormat="1" ht="31.5" x14ac:dyDescent="0.25">
      <c r="A241" s="259" t="s">
        <v>582</v>
      </c>
      <c r="B241" s="191" t="s">
        <v>7</v>
      </c>
      <c r="C241" s="4" t="s">
        <v>22</v>
      </c>
      <c r="D241" s="156" t="s">
        <v>103</v>
      </c>
      <c r="E241" s="325"/>
      <c r="F241" s="159">
        <f>F242+F250+F246</f>
        <v>1278.4000000000001</v>
      </c>
      <c r="G241" s="522"/>
      <c r="H241" s="522">
        <f t="shared" ref="H241:J241" si="50">H242+H250+H246</f>
        <v>1177</v>
      </c>
      <c r="I241" s="522"/>
      <c r="J241" s="522">
        <f t="shared" si="50"/>
        <v>1177</v>
      </c>
      <c r="K241" s="522"/>
      <c r="L241" s="154"/>
      <c r="N241" s="154"/>
      <c r="O241" s="154"/>
    </row>
    <row r="242" spans="1:15" s="138" customFormat="1" ht="78.75" x14ac:dyDescent="0.25">
      <c r="A242" s="277" t="s">
        <v>585</v>
      </c>
      <c r="B242" s="191" t="s">
        <v>7</v>
      </c>
      <c r="C242" s="4" t="s">
        <v>22</v>
      </c>
      <c r="D242" s="156" t="s">
        <v>124</v>
      </c>
      <c r="E242" s="325"/>
      <c r="F242" s="159">
        <f t="shared" ref="F242:J243" si="51">F243</f>
        <v>728.4</v>
      </c>
      <c r="G242" s="306"/>
      <c r="H242" s="522">
        <f t="shared" si="51"/>
        <v>727</v>
      </c>
      <c r="I242" s="522"/>
      <c r="J242" s="522">
        <f t="shared" si="51"/>
        <v>727</v>
      </c>
      <c r="K242" s="522"/>
      <c r="L242" s="154"/>
      <c r="N242" s="154"/>
      <c r="O242" s="154"/>
    </row>
    <row r="243" spans="1:15" s="138" customFormat="1" ht="31.5" x14ac:dyDescent="0.25">
      <c r="A243" s="257" t="s">
        <v>174</v>
      </c>
      <c r="B243" s="191" t="s">
        <v>7</v>
      </c>
      <c r="C243" s="4" t="s">
        <v>22</v>
      </c>
      <c r="D243" s="156" t="s">
        <v>175</v>
      </c>
      <c r="E243" s="325"/>
      <c r="F243" s="159">
        <f>F244</f>
        <v>728.4</v>
      </c>
      <c r="G243" s="306"/>
      <c r="H243" s="522">
        <f t="shared" si="51"/>
        <v>727</v>
      </c>
      <c r="I243" s="522"/>
      <c r="J243" s="522">
        <f t="shared" si="51"/>
        <v>727</v>
      </c>
      <c r="K243" s="522"/>
      <c r="L243" s="154"/>
      <c r="N243" s="154"/>
      <c r="O243" s="154"/>
    </row>
    <row r="244" spans="1:15" s="138" customFormat="1" x14ac:dyDescent="0.25">
      <c r="A244" s="253" t="s">
        <v>120</v>
      </c>
      <c r="B244" s="191" t="s">
        <v>7</v>
      </c>
      <c r="C244" s="4" t="s">
        <v>22</v>
      </c>
      <c r="D244" s="156" t="s">
        <v>175</v>
      </c>
      <c r="E244" s="325">
        <v>200</v>
      </c>
      <c r="F244" s="159">
        <f>F245</f>
        <v>728.4</v>
      </c>
      <c r="G244" s="306"/>
      <c r="H244" s="522">
        <f>H245</f>
        <v>727</v>
      </c>
      <c r="I244" s="522"/>
      <c r="J244" s="522">
        <f>J245</f>
        <v>727</v>
      </c>
      <c r="K244" s="522"/>
      <c r="L244" s="154"/>
      <c r="N244" s="154"/>
      <c r="O244" s="154"/>
    </row>
    <row r="245" spans="1:15" s="138" customFormat="1" ht="31.5" x14ac:dyDescent="0.25">
      <c r="A245" s="253" t="s">
        <v>52</v>
      </c>
      <c r="B245" s="191" t="s">
        <v>7</v>
      </c>
      <c r="C245" s="4" t="s">
        <v>22</v>
      </c>
      <c r="D245" s="156" t="s">
        <v>175</v>
      </c>
      <c r="E245" s="325">
        <v>240</v>
      </c>
      <c r="F245" s="159">
        <f>'ведом. 2025-2027'!AD165</f>
        <v>728.4</v>
      </c>
      <c r="G245" s="306"/>
      <c r="H245" s="522">
        <f>'ведом. 2025-2027'!AE165</f>
        <v>727</v>
      </c>
      <c r="I245" s="522"/>
      <c r="J245" s="522">
        <f>'ведом. 2025-2027'!AF165</f>
        <v>727</v>
      </c>
      <c r="K245" s="522"/>
      <c r="L245" s="154"/>
      <c r="N245" s="154"/>
      <c r="O245" s="154"/>
    </row>
    <row r="246" spans="1:15" s="519" customFormat="1" ht="47.25" x14ac:dyDescent="0.25">
      <c r="A246" s="451" t="s">
        <v>677</v>
      </c>
      <c r="B246" s="453" t="s">
        <v>7</v>
      </c>
      <c r="C246" s="454" t="s">
        <v>22</v>
      </c>
      <c r="D246" s="458" t="s">
        <v>726</v>
      </c>
      <c r="E246" s="456"/>
      <c r="F246" s="522">
        <f>F247</f>
        <v>100</v>
      </c>
      <c r="G246" s="522"/>
      <c r="H246" s="522">
        <f t="shared" ref="H246:J248" si="52">H247</f>
        <v>0</v>
      </c>
      <c r="I246" s="522"/>
      <c r="J246" s="522">
        <f t="shared" si="52"/>
        <v>0</v>
      </c>
      <c r="K246" s="522"/>
      <c r="L246" s="521"/>
      <c r="N246" s="521"/>
      <c r="O246" s="521"/>
    </row>
    <row r="247" spans="1:15" s="519" customFormat="1" ht="31.5" x14ac:dyDescent="0.25">
      <c r="A247" s="451" t="s">
        <v>678</v>
      </c>
      <c r="B247" s="453" t="s">
        <v>7</v>
      </c>
      <c r="C247" s="454" t="s">
        <v>22</v>
      </c>
      <c r="D247" s="458" t="s">
        <v>679</v>
      </c>
      <c r="E247" s="456"/>
      <c r="F247" s="522">
        <f>F248</f>
        <v>100</v>
      </c>
      <c r="G247" s="522"/>
      <c r="H247" s="522">
        <f t="shared" si="52"/>
        <v>0</v>
      </c>
      <c r="I247" s="522"/>
      <c r="J247" s="522">
        <f t="shared" si="52"/>
        <v>0</v>
      </c>
      <c r="K247" s="522"/>
      <c r="L247" s="521"/>
      <c r="N247" s="521"/>
      <c r="O247" s="521"/>
    </row>
    <row r="248" spans="1:15" s="519" customFormat="1" x14ac:dyDescent="0.25">
      <c r="A248" s="451" t="s">
        <v>120</v>
      </c>
      <c r="B248" s="453" t="s">
        <v>7</v>
      </c>
      <c r="C248" s="454" t="s">
        <v>22</v>
      </c>
      <c r="D248" s="458" t="s">
        <v>679</v>
      </c>
      <c r="E248" s="456">
        <v>200</v>
      </c>
      <c r="F248" s="522">
        <f>F249</f>
        <v>100</v>
      </c>
      <c r="G248" s="522"/>
      <c r="H248" s="522">
        <f t="shared" si="52"/>
        <v>0</v>
      </c>
      <c r="I248" s="522"/>
      <c r="J248" s="522">
        <f t="shared" si="52"/>
        <v>0</v>
      </c>
      <c r="K248" s="522"/>
      <c r="L248" s="521"/>
      <c r="N248" s="521"/>
      <c r="O248" s="521"/>
    </row>
    <row r="249" spans="1:15" s="519" customFormat="1" ht="31.5" x14ac:dyDescent="0.25">
      <c r="A249" s="523" t="s">
        <v>52</v>
      </c>
      <c r="B249" s="453" t="s">
        <v>7</v>
      </c>
      <c r="C249" s="454" t="s">
        <v>22</v>
      </c>
      <c r="D249" s="458" t="s">
        <v>679</v>
      </c>
      <c r="E249" s="456">
        <v>240</v>
      </c>
      <c r="F249" s="522">
        <f>'ведом. 2025-2027'!AD169</f>
        <v>100</v>
      </c>
      <c r="G249" s="524"/>
      <c r="H249" s="522">
        <f>'ведом. 2025-2027'!AE169</f>
        <v>0</v>
      </c>
      <c r="I249" s="522"/>
      <c r="J249" s="522">
        <f>'ведом. 2025-2027'!AF169</f>
        <v>0</v>
      </c>
      <c r="K249" s="522"/>
      <c r="L249" s="521"/>
      <c r="N249" s="521"/>
      <c r="O249" s="521"/>
    </row>
    <row r="250" spans="1:15" s="138" customFormat="1" ht="47.25" x14ac:dyDescent="0.25">
      <c r="A250" s="257" t="s">
        <v>558</v>
      </c>
      <c r="B250" s="191" t="s">
        <v>7</v>
      </c>
      <c r="C250" s="4" t="s">
        <v>22</v>
      </c>
      <c r="D250" s="156" t="s">
        <v>557</v>
      </c>
      <c r="E250" s="328"/>
      <c r="F250" s="159">
        <f>F251</f>
        <v>450</v>
      </c>
      <c r="G250" s="306"/>
      <c r="H250" s="522">
        <f>H251</f>
        <v>450</v>
      </c>
      <c r="I250" s="522"/>
      <c r="J250" s="522">
        <f>J251</f>
        <v>450</v>
      </c>
      <c r="K250" s="522"/>
      <c r="L250" s="154"/>
      <c r="N250" s="154"/>
      <c r="O250" s="154"/>
    </row>
    <row r="251" spans="1:15" s="138" customFormat="1" ht="31.5" x14ac:dyDescent="0.25">
      <c r="A251" s="258" t="s">
        <v>559</v>
      </c>
      <c r="B251" s="191" t="s">
        <v>7</v>
      </c>
      <c r="C251" s="4" t="s">
        <v>22</v>
      </c>
      <c r="D251" s="156" t="s">
        <v>560</v>
      </c>
      <c r="E251" s="328"/>
      <c r="F251" s="159">
        <f>F252</f>
        <v>450</v>
      </c>
      <c r="G251" s="306"/>
      <c r="H251" s="522">
        <f>H252</f>
        <v>450</v>
      </c>
      <c r="I251" s="522"/>
      <c r="J251" s="522">
        <f>J252</f>
        <v>450</v>
      </c>
      <c r="K251" s="522"/>
      <c r="L251" s="154"/>
      <c r="N251" s="154"/>
      <c r="O251" s="154"/>
    </row>
    <row r="252" spans="1:15" s="138" customFormat="1" x14ac:dyDescent="0.25">
      <c r="A252" s="253" t="s">
        <v>120</v>
      </c>
      <c r="B252" s="191" t="s">
        <v>7</v>
      </c>
      <c r="C252" s="4" t="s">
        <v>22</v>
      </c>
      <c r="D252" s="156" t="s">
        <v>560</v>
      </c>
      <c r="E252" s="328" t="s">
        <v>37</v>
      </c>
      <c r="F252" s="159">
        <f>F253</f>
        <v>450</v>
      </c>
      <c r="G252" s="306"/>
      <c r="H252" s="522">
        <f>H253</f>
        <v>450</v>
      </c>
      <c r="I252" s="522"/>
      <c r="J252" s="522">
        <f>J253</f>
        <v>450</v>
      </c>
      <c r="K252" s="522"/>
      <c r="L252" s="154"/>
      <c r="N252" s="154"/>
      <c r="O252" s="154"/>
    </row>
    <row r="253" spans="1:15" s="138" customFormat="1" ht="31.5" x14ac:dyDescent="0.25">
      <c r="A253" s="253" t="s">
        <v>52</v>
      </c>
      <c r="B253" s="191" t="s">
        <v>7</v>
      </c>
      <c r="C253" s="4" t="s">
        <v>22</v>
      </c>
      <c r="D253" s="156" t="s">
        <v>560</v>
      </c>
      <c r="E253" s="328" t="s">
        <v>65</v>
      </c>
      <c r="F253" s="159">
        <f>'ведом. 2025-2027'!AD173</f>
        <v>450</v>
      </c>
      <c r="G253" s="306"/>
      <c r="H253" s="522">
        <f>'ведом. 2025-2027'!AE173</f>
        <v>450</v>
      </c>
      <c r="I253" s="522"/>
      <c r="J253" s="522">
        <f>'ведом. 2025-2027'!AF173</f>
        <v>450</v>
      </c>
      <c r="K253" s="522"/>
      <c r="L253" s="154"/>
      <c r="N253" s="154"/>
      <c r="O253" s="154"/>
    </row>
    <row r="254" spans="1:15" s="138" customFormat="1" ht="31.5" x14ac:dyDescent="0.25">
      <c r="A254" s="253" t="s">
        <v>365</v>
      </c>
      <c r="B254" s="191" t="s">
        <v>7</v>
      </c>
      <c r="C254" s="4" t="s">
        <v>36</v>
      </c>
      <c r="D254" s="26"/>
      <c r="E254" s="325"/>
      <c r="F254" s="159">
        <f>F255+F288</f>
        <v>29249.399999999998</v>
      </c>
      <c r="G254" s="522"/>
      <c r="H254" s="522">
        <f t="shared" ref="H254:J254" si="53">H255+H288</f>
        <v>11681</v>
      </c>
      <c r="I254" s="522"/>
      <c r="J254" s="522">
        <f t="shared" si="53"/>
        <v>11717</v>
      </c>
      <c r="K254" s="522"/>
      <c r="L254" s="154"/>
      <c r="N254" s="154"/>
      <c r="O254" s="154"/>
    </row>
    <row r="255" spans="1:15" s="138" customFormat="1" ht="31.5" x14ac:dyDescent="0.25">
      <c r="A255" s="259" t="s">
        <v>161</v>
      </c>
      <c r="B255" s="191" t="s">
        <v>7</v>
      </c>
      <c r="C255" s="4" t="s">
        <v>36</v>
      </c>
      <c r="D255" s="26" t="s">
        <v>102</v>
      </c>
      <c r="E255" s="325"/>
      <c r="F255" s="159">
        <f>F256+F267+F281+F274</f>
        <v>29239.399999999998</v>
      </c>
      <c r="G255" s="159"/>
      <c r="H255" s="522">
        <f>H256+H267+H281+H274</f>
        <v>11681</v>
      </c>
      <c r="I255" s="522"/>
      <c r="J255" s="522">
        <f>J256+J267+J281+J274</f>
        <v>11717</v>
      </c>
      <c r="K255" s="522"/>
      <c r="L255" s="154"/>
      <c r="N255" s="154"/>
      <c r="O255" s="154"/>
    </row>
    <row r="256" spans="1:15" s="138" customFormat="1" ht="31.5" x14ac:dyDescent="0.25">
      <c r="A256" s="457" t="s">
        <v>720</v>
      </c>
      <c r="B256" s="191" t="s">
        <v>7</v>
      </c>
      <c r="C256" s="4" t="s">
        <v>36</v>
      </c>
      <c r="D256" s="156" t="s">
        <v>107</v>
      </c>
      <c r="E256" s="328"/>
      <c r="F256" s="159">
        <f>F257+F261</f>
        <v>467</v>
      </c>
      <c r="G256" s="159"/>
      <c r="H256" s="522">
        <f>H257+H261</f>
        <v>567</v>
      </c>
      <c r="I256" s="522"/>
      <c r="J256" s="522">
        <f>J257+J261</f>
        <v>567</v>
      </c>
      <c r="K256" s="522"/>
      <c r="L256" s="154"/>
      <c r="N256" s="154"/>
      <c r="O256" s="154"/>
    </row>
    <row r="257" spans="1:15" s="177" customFormat="1" ht="31.5" x14ac:dyDescent="0.25">
      <c r="A257" s="277" t="s">
        <v>721</v>
      </c>
      <c r="B257" s="191" t="s">
        <v>7</v>
      </c>
      <c r="C257" s="4" t="s">
        <v>36</v>
      </c>
      <c r="D257" s="156" t="s">
        <v>171</v>
      </c>
      <c r="E257" s="268"/>
      <c r="F257" s="159">
        <f>F258</f>
        <v>340</v>
      </c>
      <c r="G257" s="306"/>
      <c r="H257" s="522">
        <f>H258</f>
        <v>340</v>
      </c>
      <c r="I257" s="522"/>
      <c r="J257" s="522">
        <f>J258</f>
        <v>340</v>
      </c>
      <c r="K257" s="522"/>
      <c r="L257" s="154"/>
      <c r="N257" s="154"/>
      <c r="O257" s="154"/>
    </row>
    <row r="258" spans="1:15" s="138" customFormat="1" ht="33.75" customHeight="1" x14ac:dyDescent="0.25">
      <c r="A258" s="259" t="s">
        <v>751</v>
      </c>
      <c r="B258" s="191" t="s">
        <v>7</v>
      </c>
      <c r="C258" s="4" t="s">
        <v>36</v>
      </c>
      <c r="D258" s="156" t="s">
        <v>554</v>
      </c>
      <c r="E258" s="328"/>
      <c r="F258" s="159">
        <f>F259</f>
        <v>340</v>
      </c>
      <c r="G258" s="306"/>
      <c r="H258" s="522">
        <f>H259</f>
        <v>340</v>
      </c>
      <c r="I258" s="522"/>
      <c r="J258" s="522">
        <f>J259</f>
        <v>340</v>
      </c>
      <c r="K258" s="522"/>
      <c r="L258" s="154"/>
      <c r="N258" s="154"/>
      <c r="O258" s="154"/>
    </row>
    <row r="259" spans="1:15" s="138" customFormat="1" x14ac:dyDescent="0.25">
      <c r="A259" s="375" t="s">
        <v>120</v>
      </c>
      <c r="B259" s="191" t="s">
        <v>7</v>
      </c>
      <c r="C259" s="4" t="s">
        <v>36</v>
      </c>
      <c r="D259" s="156" t="s">
        <v>554</v>
      </c>
      <c r="E259" s="333" t="s">
        <v>37</v>
      </c>
      <c r="F259" s="159">
        <f>F260</f>
        <v>340</v>
      </c>
      <c r="G259" s="306"/>
      <c r="H259" s="522">
        <f>H260</f>
        <v>340</v>
      </c>
      <c r="I259" s="522"/>
      <c r="J259" s="522">
        <f>J260</f>
        <v>340</v>
      </c>
      <c r="K259" s="522"/>
      <c r="L259" s="154"/>
      <c r="N259" s="154"/>
      <c r="O259" s="154"/>
    </row>
    <row r="260" spans="1:15" s="138" customFormat="1" ht="31.5" x14ac:dyDescent="0.25">
      <c r="A260" s="375" t="s">
        <v>52</v>
      </c>
      <c r="B260" s="191" t="s">
        <v>7</v>
      </c>
      <c r="C260" s="4" t="s">
        <v>36</v>
      </c>
      <c r="D260" s="156" t="s">
        <v>554</v>
      </c>
      <c r="E260" s="333" t="s">
        <v>65</v>
      </c>
      <c r="F260" s="159">
        <f>'ведом. 2025-2027'!AD180</f>
        <v>340</v>
      </c>
      <c r="G260" s="306"/>
      <c r="H260" s="522">
        <f xml:space="preserve"> 'ведом. 2025-2027'!AE180</f>
        <v>340</v>
      </c>
      <c r="I260" s="522"/>
      <c r="J260" s="522">
        <f>'ведом. 2025-2027'!AF180</f>
        <v>340</v>
      </c>
      <c r="K260" s="522"/>
      <c r="L260" s="154"/>
      <c r="N260" s="154"/>
      <c r="O260" s="154"/>
    </row>
    <row r="261" spans="1:15" s="138" customFormat="1" ht="47.25" x14ac:dyDescent="0.25">
      <c r="A261" s="523" t="s">
        <v>723</v>
      </c>
      <c r="B261" s="191" t="s">
        <v>7</v>
      </c>
      <c r="C261" s="4" t="s">
        <v>36</v>
      </c>
      <c r="D261" s="156" t="s">
        <v>555</v>
      </c>
      <c r="E261" s="328"/>
      <c r="F261" s="159">
        <f>F262</f>
        <v>127</v>
      </c>
      <c r="G261" s="306"/>
      <c r="H261" s="522">
        <f>H262</f>
        <v>227</v>
      </c>
      <c r="I261" s="522"/>
      <c r="J261" s="522">
        <f>J262</f>
        <v>227</v>
      </c>
      <c r="K261" s="522"/>
      <c r="L261" s="154"/>
      <c r="N261" s="154"/>
      <c r="O261" s="154"/>
    </row>
    <row r="262" spans="1:15" s="138" customFormat="1" ht="31.5" x14ac:dyDescent="0.25">
      <c r="A262" s="253" t="s">
        <v>751</v>
      </c>
      <c r="B262" s="191" t="s">
        <v>7</v>
      </c>
      <c r="C262" s="4" t="s">
        <v>36</v>
      </c>
      <c r="D262" s="156" t="s">
        <v>556</v>
      </c>
      <c r="E262" s="328"/>
      <c r="F262" s="159">
        <f>F263+F265</f>
        <v>127</v>
      </c>
      <c r="G262" s="522"/>
      <c r="H262" s="522">
        <f t="shared" ref="H262:J262" si="54">H263+H265</f>
        <v>227</v>
      </c>
      <c r="I262" s="522"/>
      <c r="J262" s="522">
        <f t="shared" si="54"/>
        <v>227</v>
      </c>
      <c r="K262" s="522"/>
      <c r="L262" s="154"/>
      <c r="N262" s="154"/>
      <c r="O262" s="154"/>
    </row>
    <row r="263" spans="1:15" s="138" customFormat="1" x14ac:dyDescent="0.25">
      <c r="A263" s="253" t="s">
        <v>120</v>
      </c>
      <c r="B263" s="191" t="s">
        <v>7</v>
      </c>
      <c r="C263" s="4" t="s">
        <v>36</v>
      </c>
      <c r="D263" s="156" t="s">
        <v>556</v>
      </c>
      <c r="E263" s="328" t="s">
        <v>37</v>
      </c>
      <c r="F263" s="159">
        <f>F264</f>
        <v>52</v>
      </c>
      <c r="G263" s="306"/>
      <c r="H263" s="522">
        <f>H264</f>
        <v>227</v>
      </c>
      <c r="I263" s="522"/>
      <c r="J263" s="522">
        <f>J264</f>
        <v>227</v>
      </c>
      <c r="K263" s="522"/>
      <c r="L263" s="154"/>
      <c r="N263" s="154"/>
      <c r="O263" s="154"/>
    </row>
    <row r="264" spans="1:15" s="177" customFormat="1" ht="31.5" x14ac:dyDescent="0.25">
      <c r="A264" s="253" t="s">
        <v>52</v>
      </c>
      <c r="B264" s="191" t="s">
        <v>7</v>
      </c>
      <c r="C264" s="4" t="s">
        <v>36</v>
      </c>
      <c r="D264" s="156" t="s">
        <v>556</v>
      </c>
      <c r="E264" s="328" t="s">
        <v>65</v>
      </c>
      <c r="F264" s="159">
        <f>'ведом. 2025-2027'!AD184</f>
        <v>52</v>
      </c>
      <c r="G264" s="306"/>
      <c r="H264" s="522">
        <f>'ведом. 2025-2027'!AE184</f>
        <v>227</v>
      </c>
      <c r="I264" s="522"/>
      <c r="J264" s="522">
        <f>'ведом. 2025-2027'!AF184</f>
        <v>227</v>
      </c>
      <c r="K264" s="522"/>
      <c r="L264" s="154"/>
      <c r="N264" s="154"/>
      <c r="O264" s="154"/>
    </row>
    <row r="265" spans="1:15" s="519" customFormat="1" ht="31.5" x14ac:dyDescent="0.25">
      <c r="A265" s="523" t="s">
        <v>60</v>
      </c>
      <c r="B265" s="191" t="s">
        <v>7</v>
      </c>
      <c r="C265" s="516" t="s">
        <v>36</v>
      </c>
      <c r="D265" s="156" t="s">
        <v>556</v>
      </c>
      <c r="E265" s="328" t="s">
        <v>386</v>
      </c>
      <c r="F265" s="522">
        <f>F266</f>
        <v>75</v>
      </c>
      <c r="G265" s="522"/>
      <c r="H265" s="522">
        <f t="shared" ref="H265:J265" si="55">H266</f>
        <v>0</v>
      </c>
      <c r="I265" s="522"/>
      <c r="J265" s="522">
        <f t="shared" si="55"/>
        <v>0</v>
      </c>
      <c r="K265" s="522"/>
      <c r="L265" s="521"/>
      <c r="N265" s="521"/>
      <c r="O265" s="521"/>
    </row>
    <row r="266" spans="1:15" s="519" customFormat="1" x14ac:dyDescent="0.25">
      <c r="A266" s="523" t="s">
        <v>61</v>
      </c>
      <c r="B266" s="191" t="s">
        <v>7</v>
      </c>
      <c r="C266" s="516" t="s">
        <v>36</v>
      </c>
      <c r="D266" s="156" t="s">
        <v>556</v>
      </c>
      <c r="E266" s="328" t="s">
        <v>387</v>
      </c>
      <c r="F266" s="522">
        <f>'ведом. 2025-2027'!AD186</f>
        <v>75</v>
      </c>
      <c r="G266" s="524"/>
      <c r="H266" s="522">
        <f>'ведом. 2025-2027'!AE186</f>
        <v>0</v>
      </c>
      <c r="I266" s="522"/>
      <c r="J266" s="522">
        <f>'ведом. 2025-2027'!AF186</f>
        <v>0</v>
      </c>
      <c r="K266" s="522"/>
      <c r="L266" s="521"/>
      <c r="N266" s="521"/>
      <c r="O266" s="521"/>
    </row>
    <row r="267" spans="1:15" s="138" customFormat="1" ht="31.5" x14ac:dyDescent="0.25">
      <c r="A267" s="259" t="s">
        <v>356</v>
      </c>
      <c r="B267" s="191" t="s">
        <v>7</v>
      </c>
      <c r="C267" s="4" t="s">
        <v>36</v>
      </c>
      <c r="D267" s="156" t="s">
        <v>104</v>
      </c>
      <c r="E267" s="326"/>
      <c r="F267" s="159">
        <f>F268</f>
        <v>670.6</v>
      </c>
      <c r="G267" s="306"/>
      <c r="H267" s="522">
        <f>H268</f>
        <v>694</v>
      </c>
      <c r="I267" s="522"/>
      <c r="J267" s="522">
        <f>J268</f>
        <v>694</v>
      </c>
      <c r="K267" s="522"/>
      <c r="L267" s="154"/>
      <c r="N267" s="154"/>
      <c r="O267" s="154"/>
    </row>
    <row r="268" spans="1:15" s="138" customFormat="1" ht="31.5" x14ac:dyDescent="0.25">
      <c r="A268" s="257" t="s">
        <v>561</v>
      </c>
      <c r="B268" s="191" t="s">
        <v>7</v>
      </c>
      <c r="C268" s="4" t="s">
        <v>36</v>
      </c>
      <c r="D268" s="156" t="s">
        <v>125</v>
      </c>
      <c r="E268" s="328"/>
      <c r="F268" s="159">
        <f>F269</f>
        <v>670.6</v>
      </c>
      <c r="G268" s="306"/>
      <c r="H268" s="522">
        <f>H269</f>
        <v>694</v>
      </c>
      <c r="I268" s="522"/>
      <c r="J268" s="522">
        <f>J269</f>
        <v>694</v>
      </c>
      <c r="K268" s="522"/>
      <c r="L268" s="154"/>
      <c r="N268" s="154"/>
      <c r="O268" s="154"/>
    </row>
    <row r="269" spans="1:15" s="138" customFormat="1" ht="31.5" x14ac:dyDescent="0.25">
      <c r="A269" s="479" t="s">
        <v>752</v>
      </c>
      <c r="B269" s="191" t="s">
        <v>7</v>
      </c>
      <c r="C269" s="4" t="s">
        <v>36</v>
      </c>
      <c r="D269" s="156" t="s">
        <v>173</v>
      </c>
      <c r="E269" s="326"/>
      <c r="F269" s="159">
        <f>F270+F272</f>
        <v>670.6</v>
      </c>
      <c r="G269" s="522"/>
      <c r="H269" s="522">
        <f t="shared" ref="H269:J269" si="56">H270+H272</f>
        <v>694</v>
      </c>
      <c r="I269" s="522"/>
      <c r="J269" s="522">
        <f t="shared" si="56"/>
        <v>694</v>
      </c>
      <c r="K269" s="522"/>
      <c r="L269" s="154"/>
      <c r="N269" s="154"/>
      <c r="O269" s="154"/>
    </row>
    <row r="270" spans="1:15" s="138" customFormat="1" x14ac:dyDescent="0.25">
      <c r="A270" s="253" t="s">
        <v>120</v>
      </c>
      <c r="B270" s="191" t="s">
        <v>7</v>
      </c>
      <c r="C270" s="4" t="s">
        <v>36</v>
      </c>
      <c r="D270" s="156" t="s">
        <v>173</v>
      </c>
      <c r="E270" s="328" t="s">
        <v>37</v>
      </c>
      <c r="F270" s="159">
        <f>F271</f>
        <v>332.1</v>
      </c>
      <c r="G270" s="306"/>
      <c r="H270" s="522">
        <f>H271</f>
        <v>355.5</v>
      </c>
      <c r="I270" s="522"/>
      <c r="J270" s="522">
        <f>J271</f>
        <v>435</v>
      </c>
      <c r="K270" s="522"/>
      <c r="L270" s="154"/>
      <c r="N270" s="154"/>
      <c r="O270" s="154"/>
    </row>
    <row r="271" spans="1:15" s="138" customFormat="1" ht="31.5" x14ac:dyDescent="0.25">
      <c r="A271" s="253" t="s">
        <v>52</v>
      </c>
      <c r="B271" s="191" t="s">
        <v>7</v>
      </c>
      <c r="C271" s="4" t="s">
        <v>36</v>
      </c>
      <c r="D271" s="156" t="s">
        <v>173</v>
      </c>
      <c r="E271" s="328" t="s">
        <v>65</v>
      </c>
      <c r="F271" s="159">
        <f>'ведом. 2025-2027'!AD191</f>
        <v>332.1</v>
      </c>
      <c r="G271" s="306"/>
      <c r="H271" s="522">
        <f>'ведом. 2025-2027'!AE191</f>
        <v>355.5</v>
      </c>
      <c r="I271" s="522"/>
      <c r="J271" s="522">
        <f>'ведом. 2025-2027'!AF191</f>
        <v>435</v>
      </c>
      <c r="K271" s="522"/>
      <c r="L271" s="154"/>
      <c r="N271" s="154"/>
      <c r="O271" s="154"/>
    </row>
    <row r="272" spans="1:15" s="519" customFormat="1" ht="31.5" x14ac:dyDescent="0.25">
      <c r="A272" s="523" t="s">
        <v>60</v>
      </c>
      <c r="B272" s="191" t="s">
        <v>7</v>
      </c>
      <c r="C272" s="516" t="s">
        <v>36</v>
      </c>
      <c r="D272" s="156" t="s">
        <v>173</v>
      </c>
      <c r="E272" s="328" t="s">
        <v>386</v>
      </c>
      <c r="F272" s="522">
        <f>F273</f>
        <v>338.5</v>
      </c>
      <c r="G272" s="522"/>
      <c r="H272" s="522">
        <f t="shared" ref="H272:J272" si="57">H273</f>
        <v>338.5</v>
      </c>
      <c r="I272" s="522"/>
      <c r="J272" s="522">
        <f t="shared" si="57"/>
        <v>259</v>
      </c>
      <c r="K272" s="522"/>
      <c r="L272" s="521"/>
      <c r="N272" s="521"/>
      <c r="O272" s="521"/>
    </row>
    <row r="273" spans="1:15" s="519" customFormat="1" x14ac:dyDescent="0.25">
      <c r="A273" s="523" t="s">
        <v>61</v>
      </c>
      <c r="B273" s="191" t="s">
        <v>7</v>
      </c>
      <c r="C273" s="516" t="s">
        <v>36</v>
      </c>
      <c r="D273" s="156" t="s">
        <v>173</v>
      </c>
      <c r="E273" s="328" t="s">
        <v>387</v>
      </c>
      <c r="F273" s="522">
        <f>'ведом. 2025-2027'!AD193</f>
        <v>338.5</v>
      </c>
      <c r="G273" s="524"/>
      <c r="H273" s="522">
        <f>'ведом. 2025-2027'!AE193</f>
        <v>338.5</v>
      </c>
      <c r="I273" s="522"/>
      <c r="J273" s="522">
        <f>'ведом. 2025-2027'!AF193</f>
        <v>259</v>
      </c>
      <c r="K273" s="522"/>
      <c r="L273" s="521"/>
      <c r="N273" s="521"/>
      <c r="O273" s="521"/>
    </row>
    <row r="274" spans="1:15" s="177" customFormat="1" ht="31.5" x14ac:dyDescent="0.25">
      <c r="A274" s="253" t="s">
        <v>562</v>
      </c>
      <c r="B274" s="191" t="s">
        <v>7</v>
      </c>
      <c r="C274" s="4" t="s">
        <v>36</v>
      </c>
      <c r="D274" s="156" t="s">
        <v>108</v>
      </c>
      <c r="E274" s="328"/>
      <c r="F274" s="159">
        <f>F275</f>
        <v>870</v>
      </c>
      <c r="G274" s="306"/>
      <c r="H274" s="522">
        <f>H275</f>
        <v>770</v>
      </c>
      <c r="I274" s="522"/>
      <c r="J274" s="522">
        <f>J275</f>
        <v>770</v>
      </c>
      <c r="K274" s="522"/>
      <c r="L274" s="154"/>
      <c r="N274" s="154"/>
      <c r="O274" s="154"/>
    </row>
    <row r="275" spans="1:15" s="177" customFormat="1" ht="31.5" x14ac:dyDescent="0.25">
      <c r="A275" s="253" t="s">
        <v>563</v>
      </c>
      <c r="B275" s="191" t="s">
        <v>7</v>
      </c>
      <c r="C275" s="4" t="s">
        <v>36</v>
      </c>
      <c r="D275" s="156" t="s">
        <v>564</v>
      </c>
      <c r="E275" s="328"/>
      <c r="F275" s="159">
        <f>F276</f>
        <v>870</v>
      </c>
      <c r="G275" s="306"/>
      <c r="H275" s="522">
        <f>H276</f>
        <v>770</v>
      </c>
      <c r="I275" s="522"/>
      <c r="J275" s="522">
        <f>J276</f>
        <v>770</v>
      </c>
      <c r="K275" s="522"/>
      <c r="L275" s="154"/>
      <c r="N275" s="154"/>
      <c r="O275" s="154"/>
    </row>
    <row r="276" spans="1:15" s="177" customFormat="1" ht="31.5" x14ac:dyDescent="0.25">
      <c r="A276" s="253" t="s">
        <v>172</v>
      </c>
      <c r="B276" s="191" t="s">
        <v>7</v>
      </c>
      <c r="C276" s="4" t="s">
        <v>36</v>
      </c>
      <c r="D276" s="156" t="s">
        <v>565</v>
      </c>
      <c r="E276" s="328"/>
      <c r="F276" s="159">
        <f>F279+F277</f>
        <v>870</v>
      </c>
      <c r="G276" s="522"/>
      <c r="H276" s="522">
        <f t="shared" ref="H276:J276" si="58">H279+H277</f>
        <v>770</v>
      </c>
      <c r="I276" s="522"/>
      <c r="J276" s="522">
        <f t="shared" si="58"/>
        <v>770</v>
      </c>
      <c r="K276" s="522"/>
      <c r="L276" s="154"/>
      <c r="N276" s="154"/>
      <c r="O276" s="154"/>
    </row>
    <row r="277" spans="1:15" s="519" customFormat="1" x14ac:dyDescent="0.25">
      <c r="A277" s="451" t="s">
        <v>120</v>
      </c>
      <c r="B277" s="191" t="s">
        <v>7</v>
      </c>
      <c r="C277" s="516" t="s">
        <v>36</v>
      </c>
      <c r="D277" s="156" t="s">
        <v>565</v>
      </c>
      <c r="E277" s="328" t="s">
        <v>37</v>
      </c>
      <c r="F277" s="522">
        <f>F278</f>
        <v>100</v>
      </c>
      <c r="G277" s="524"/>
      <c r="H277" s="522">
        <f>H278</f>
        <v>0</v>
      </c>
      <c r="I277" s="522"/>
      <c r="J277" s="522">
        <f>J278</f>
        <v>0</v>
      </c>
      <c r="K277" s="522"/>
      <c r="L277" s="521"/>
      <c r="N277" s="521"/>
      <c r="O277" s="521"/>
    </row>
    <row r="278" spans="1:15" s="519" customFormat="1" ht="21" customHeight="1" x14ac:dyDescent="0.25">
      <c r="A278" s="451" t="s">
        <v>52</v>
      </c>
      <c r="B278" s="191" t="s">
        <v>7</v>
      </c>
      <c r="C278" s="516" t="s">
        <v>36</v>
      </c>
      <c r="D278" s="156" t="s">
        <v>565</v>
      </c>
      <c r="E278" s="328" t="s">
        <v>65</v>
      </c>
      <c r="F278" s="522">
        <f>'ведом. 2025-2027'!AD198</f>
        <v>100</v>
      </c>
      <c r="G278" s="524"/>
      <c r="H278" s="522">
        <f>'ведом. 2025-2027'!AE198</f>
        <v>0</v>
      </c>
      <c r="I278" s="522"/>
      <c r="J278" s="522">
        <f>'ведом. 2025-2027'!AF198</f>
        <v>0</v>
      </c>
      <c r="K278" s="522"/>
      <c r="L278" s="521"/>
      <c r="N278" s="521"/>
      <c r="O278" s="521"/>
    </row>
    <row r="279" spans="1:15" s="177" customFormat="1" ht="31.5" x14ac:dyDescent="0.25">
      <c r="A279" s="253" t="s">
        <v>60</v>
      </c>
      <c r="B279" s="191" t="s">
        <v>7</v>
      </c>
      <c r="C279" s="4" t="s">
        <v>36</v>
      </c>
      <c r="D279" s="156" t="s">
        <v>565</v>
      </c>
      <c r="E279" s="328" t="s">
        <v>386</v>
      </c>
      <c r="F279" s="159">
        <f>F280</f>
        <v>770</v>
      </c>
      <c r="G279" s="306"/>
      <c r="H279" s="522">
        <f>H280</f>
        <v>770</v>
      </c>
      <c r="I279" s="522"/>
      <c r="J279" s="522">
        <f>J280</f>
        <v>770</v>
      </c>
      <c r="K279" s="522"/>
      <c r="L279" s="154"/>
      <c r="N279" s="154"/>
      <c r="O279" s="154"/>
    </row>
    <row r="280" spans="1:15" s="177" customFormat="1" x14ac:dyDescent="0.25">
      <c r="A280" s="253" t="s">
        <v>61</v>
      </c>
      <c r="B280" s="191" t="s">
        <v>7</v>
      </c>
      <c r="C280" s="4" t="s">
        <v>36</v>
      </c>
      <c r="D280" s="156" t="s">
        <v>565</v>
      </c>
      <c r="E280" s="328" t="s">
        <v>387</v>
      </c>
      <c r="F280" s="159">
        <f>'ведом. 2025-2027'!AD200</f>
        <v>770</v>
      </c>
      <c r="G280" s="306"/>
      <c r="H280" s="522">
        <f>'ведом. 2025-2027'!AE200</f>
        <v>770</v>
      </c>
      <c r="I280" s="522"/>
      <c r="J280" s="522">
        <f>'ведом. 2025-2027'!AF200</f>
        <v>770</v>
      </c>
      <c r="K280" s="522"/>
      <c r="L280" s="154"/>
      <c r="N280" s="154"/>
      <c r="O280" s="154"/>
    </row>
    <row r="281" spans="1:15" s="177" customFormat="1" x14ac:dyDescent="0.25">
      <c r="A281" s="257" t="s">
        <v>48</v>
      </c>
      <c r="B281" s="191" t="s">
        <v>7</v>
      </c>
      <c r="C281" s="4" t="s">
        <v>36</v>
      </c>
      <c r="D281" s="156" t="s">
        <v>105</v>
      </c>
      <c r="E281" s="328"/>
      <c r="F281" s="159">
        <f>F282</f>
        <v>27231.8</v>
      </c>
      <c r="G281" s="306"/>
      <c r="H281" s="522">
        <f t="shared" ref="H281:J282" si="59">H282</f>
        <v>9650</v>
      </c>
      <c r="I281" s="522"/>
      <c r="J281" s="522">
        <f t="shared" si="59"/>
        <v>9686</v>
      </c>
      <c r="K281" s="522"/>
      <c r="L281" s="154"/>
      <c r="N281" s="154"/>
      <c r="O281" s="154"/>
    </row>
    <row r="282" spans="1:15" s="177" customFormat="1" ht="31.5" x14ac:dyDescent="0.25">
      <c r="A282" s="257" t="s">
        <v>269</v>
      </c>
      <c r="B282" s="191" t="s">
        <v>7</v>
      </c>
      <c r="C282" s="4" t="s">
        <v>36</v>
      </c>
      <c r="D282" s="156" t="s">
        <v>350</v>
      </c>
      <c r="E282" s="328"/>
      <c r="F282" s="159">
        <f>F283</f>
        <v>27231.8</v>
      </c>
      <c r="G282" s="159"/>
      <c r="H282" s="522">
        <f t="shared" si="59"/>
        <v>9650</v>
      </c>
      <c r="I282" s="522"/>
      <c r="J282" s="522">
        <f t="shared" si="59"/>
        <v>9686</v>
      </c>
      <c r="K282" s="522"/>
      <c r="L282" s="154"/>
      <c r="N282" s="154"/>
      <c r="O282" s="154"/>
    </row>
    <row r="283" spans="1:15" s="138" customFormat="1" x14ac:dyDescent="0.25">
      <c r="A283" s="257" t="s">
        <v>176</v>
      </c>
      <c r="B283" s="191" t="s">
        <v>7</v>
      </c>
      <c r="C283" s="4" t="s">
        <v>36</v>
      </c>
      <c r="D283" s="156" t="s">
        <v>177</v>
      </c>
      <c r="E283" s="328"/>
      <c r="F283" s="159">
        <f>F284+F286</f>
        <v>27231.8</v>
      </c>
      <c r="G283" s="159"/>
      <c r="H283" s="522">
        <f>H284+H286</f>
        <v>9650</v>
      </c>
      <c r="I283" s="522"/>
      <c r="J283" s="522">
        <f>J284+J286</f>
        <v>9686</v>
      </c>
      <c r="K283" s="522"/>
      <c r="L283" s="154"/>
      <c r="N283" s="154"/>
      <c r="O283" s="154"/>
    </row>
    <row r="284" spans="1:15" s="138" customFormat="1" ht="47.25" x14ac:dyDescent="0.25">
      <c r="A284" s="253" t="s">
        <v>150</v>
      </c>
      <c r="B284" s="191" t="s">
        <v>7</v>
      </c>
      <c r="C284" s="4" t="s">
        <v>36</v>
      </c>
      <c r="D284" s="156" t="s">
        <v>177</v>
      </c>
      <c r="E284" s="328" t="s">
        <v>127</v>
      </c>
      <c r="F284" s="159">
        <f>F285</f>
        <v>25165.599999999999</v>
      </c>
      <c r="G284" s="306"/>
      <c r="H284" s="522">
        <f>H285</f>
        <v>7883.8</v>
      </c>
      <c r="I284" s="522"/>
      <c r="J284" s="522">
        <f>J285</f>
        <v>7919.8</v>
      </c>
      <c r="K284" s="522"/>
      <c r="L284" s="154"/>
      <c r="N284" s="154"/>
      <c r="O284" s="154"/>
    </row>
    <row r="285" spans="1:15" s="138" customFormat="1" x14ac:dyDescent="0.25">
      <c r="A285" s="253" t="s">
        <v>68</v>
      </c>
      <c r="B285" s="191" t="s">
        <v>7</v>
      </c>
      <c r="C285" s="4" t="s">
        <v>36</v>
      </c>
      <c r="D285" s="156" t="s">
        <v>177</v>
      </c>
      <c r="E285" s="328" t="s">
        <v>128</v>
      </c>
      <c r="F285" s="159">
        <f>'ведом. 2025-2027'!AD205</f>
        <v>25165.599999999999</v>
      </c>
      <c r="G285" s="306"/>
      <c r="H285" s="522">
        <f>'ведом. 2025-2027'!AE205</f>
        <v>7883.8</v>
      </c>
      <c r="I285" s="522"/>
      <c r="J285" s="522">
        <f>'ведом. 2025-2027'!AF205</f>
        <v>7919.8</v>
      </c>
      <c r="K285" s="522"/>
      <c r="L285" s="154"/>
      <c r="N285" s="154"/>
      <c r="O285" s="154"/>
    </row>
    <row r="286" spans="1:15" s="177" customFormat="1" x14ac:dyDescent="0.25">
      <c r="A286" s="253" t="s">
        <v>120</v>
      </c>
      <c r="B286" s="1" t="s">
        <v>7</v>
      </c>
      <c r="C286" s="4" t="s">
        <v>36</v>
      </c>
      <c r="D286" s="291" t="s">
        <v>177</v>
      </c>
      <c r="E286" s="430" t="s">
        <v>37</v>
      </c>
      <c r="F286" s="159">
        <f>F287</f>
        <v>2066.1999999999998</v>
      </c>
      <c r="G286" s="159"/>
      <c r="H286" s="522">
        <f>H287</f>
        <v>1766.2</v>
      </c>
      <c r="I286" s="522"/>
      <c r="J286" s="522">
        <f>J287</f>
        <v>1766.2</v>
      </c>
      <c r="K286" s="522"/>
      <c r="L286" s="154"/>
      <c r="N286" s="154"/>
      <c r="O286" s="154"/>
    </row>
    <row r="287" spans="1:15" s="177" customFormat="1" ht="31.5" x14ac:dyDescent="0.25">
      <c r="A287" s="253" t="s">
        <v>52</v>
      </c>
      <c r="B287" s="1" t="s">
        <v>7</v>
      </c>
      <c r="C287" s="4" t="s">
        <v>36</v>
      </c>
      <c r="D287" s="291" t="s">
        <v>177</v>
      </c>
      <c r="E287" s="430" t="s">
        <v>65</v>
      </c>
      <c r="F287" s="159">
        <f>'ведом. 2025-2027'!AD207</f>
        <v>2066.1999999999998</v>
      </c>
      <c r="G287" s="306"/>
      <c r="H287" s="522">
        <f>'ведом. 2025-2027'!AE207</f>
        <v>1766.2</v>
      </c>
      <c r="I287" s="522"/>
      <c r="J287" s="522">
        <f>'ведом. 2025-2027'!AF207</f>
        <v>1766.2</v>
      </c>
      <c r="K287" s="522"/>
      <c r="L287" s="154"/>
      <c r="N287" s="154"/>
      <c r="O287" s="154"/>
    </row>
    <row r="288" spans="1:15" s="519" customFormat="1" x14ac:dyDescent="0.25">
      <c r="A288" s="457" t="s">
        <v>186</v>
      </c>
      <c r="B288" s="453" t="s">
        <v>7</v>
      </c>
      <c r="C288" s="453" t="s">
        <v>36</v>
      </c>
      <c r="D288" s="542" t="s">
        <v>112</v>
      </c>
      <c r="E288" s="482"/>
      <c r="F288" s="522">
        <f>F289</f>
        <v>10</v>
      </c>
      <c r="G288" s="522"/>
      <c r="H288" s="522">
        <f t="shared" ref="H288:J292" si="60">H289</f>
        <v>0</v>
      </c>
      <c r="I288" s="522"/>
      <c r="J288" s="522">
        <f t="shared" si="60"/>
        <v>0</v>
      </c>
      <c r="K288" s="522"/>
      <c r="L288" s="521"/>
      <c r="N288" s="521"/>
      <c r="O288" s="521"/>
    </row>
    <row r="289" spans="1:15" s="519" customFormat="1" x14ac:dyDescent="0.25">
      <c r="A289" s="457" t="s">
        <v>189</v>
      </c>
      <c r="B289" s="453" t="s">
        <v>7</v>
      </c>
      <c r="C289" s="453" t="s">
        <v>36</v>
      </c>
      <c r="D289" s="542" t="s">
        <v>190</v>
      </c>
      <c r="E289" s="482"/>
      <c r="F289" s="522">
        <f>F290</f>
        <v>10</v>
      </c>
      <c r="G289" s="522"/>
      <c r="H289" s="522">
        <f t="shared" si="60"/>
        <v>0</v>
      </c>
      <c r="I289" s="522"/>
      <c r="J289" s="522">
        <f t="shared" si="60"/>
        <v>0</v>
      </c>
      <c r="K289" s="522"/>
      <c r="L289" s="521"/>
      <c r="N289" s="521"/>
      <c r="O289" s="521"/>
    </row>
    <row r="290" spans="1:15" s="519" customFormat="1" ht="31.5" x14ac:dyDescent="0.25">
      <c r="A290" s="451" t="s">
        <v>533</v>
      </c>
      <c r="B290" s="453" t="s">
        <v>7</v>
      </c>
      <c r="C290" s="453" t="s">
        <v>36</v>
      </c>
      <c r="D290" s="544" t="s">
        <v>534</v>
      </c>
      <c r="E290" s="454"/>
      <c r="F290" s="522">
        <f>F291</f>
        <v>10</v>
      </c>
      <c r="G290" s="522"/>
      <c r="H290" s="522">
        <f t="shared" si="60"/>
        <v>0</v>
      </c>
      <c r="I290" s="522"/>
      <c r="J290" s="522">
        <f t="shared" si="60"/>
        <v>0</v>
      </c>
      <c r="K290" s="522"/>
      <c r="L290" s="521"/>
      <c r="N290" s="521"/>
      <c r="O290" s="521"/>
    </row>
    <row r="291" spans="1:15" s="519" customFormat="1" ht="78.75" x14ac:dyDescent="0.25">
      <c r="A291" s="451" t="s">
        <v>405</v>
      </c>
      <c r="B291" s="453" t="s">
        <v>7</v>
      </c>
      <c r="C291" s="453" t="s">
        <v>36</v>
      </c>
      <c r="D291" s="542" t="s">
        <v>535</v>
      </c>
      <c r="E291" s="454"/>
      <c r="F291" s="522">
        <f>F292</f>
        <v>10</v>
      </c>
      <c r="G291" s="522"/>
      <c r="H291" s="522">
        <f t="shared" si="60"/>
        <v>0</v>
      </c>
      <c r="I291" s="522"/>
      <c r="J291" s="522">
        <f t="shared" si="60"/>
        <v>0</v>
      </c>
      <c r="K291" s="522"/>
      <c r="L291" s="521"/>
      <c r="N291" s="521"/>
      <c r="O291" s="521"/>
    </row>
    <row r="292" spans="1:15" s="519" customFormat="1" x14ac:dyDescent="0.25">
      <c r="A292" s="451" t="s">
        <v>120</v>
      </c>
      <c r="B292" s="453" t="s">
        <v>7</v>
      </c>
      <c r="C292" s="453" t="s">
        <v>36</v>
      </c>
      <c r="D292" s="542" t="s">
        <v>535</v>
      </c>
      <c r="E292" s="454">
        <v>200</v>
      </c>
      <c r="F292" s="522">
        <f>F293</f>
        <v>10</v>
      </c>
      <c r="G292" s="522"/>
      <c r="H292" s="522">
        <f t="shared" si="60"/>
        <v>0</v>
      </c>
      <c r="I292" s="522"/>
      <c r="J292" s="522">
        <f t="shared" si="60"/>
        <v>0</v>
      </c>
      <c r="K292" s="522"/>
      <c r="L292" s="521"/>
      <c r="N292" s="521"/>
      <c r="O292" s="521"/>
    </row>
    <row r="293" spans="1:15" s="519" customFormat="1" ht="31.5" x14ac:dyDescent="0.25">
      <c r="A293" s="451" t="s">
        <v>52</v>
      </c>
      <c r="B293" s="453" t="s">
        <v>7</v>
      </c>
      <c r="C293" s="453" t="s">
        <v>36</v>
      </c>
      <c r="D293" s="542" t="s">
        <v>535</v>
      </c>
      <c r="E293" s="454">
        <v>240</v>
      </c>
      <c r="F293" s="522">
        <f>'ведом. 2025-2027'!AD213</f>
        <v>10</v>
      </c>
      <c r="G293" s="524"/>
      <c r="H293" s="522">
        <f>'ведом. 2025-2027'!AE213</f>
        <v>0</v>
      </c>
      <c r="I293" s="522"/>
      <c r="J293" s="522">
        <f>'ведом. 2025-2027'!AF213</f>
        <v>0</v>
      </c>
      <c r="K293" s="522"/>
      <c r="L293" s="521"/>
      <c r="N293" s="521"/>
      <c r="O293" s="521"/>
    </row>
    <row r="294" spans="1:15" s="138" customFormat="1" ht="31.5" x14ac:dyDescent="0.25">
      <c r="A294" s="253" t="s">
        <v>151</v>
      </c>
      <c r="B294" s="191" t="s">
        <v>7</v>
      </c>
      <c r="C294" s="4">
        <v>14</v>
      </c>
      <c r="D294" s="26"/>
      <c r="E294" s="328"/>
      <c r="F294" s="159">
        <f>F295+F305</f>
        <v>21343.8</v>
      </c>
      <c r="G294" s="522"/>
      <c r="H294" s="522">
        <f t="shared" ref="H294:J294" si="61">H295+H305</f>
        <v>12118.8</v>
      </c>
      <c r="I294" s="522"/>
      <c r="J294" s="522">
        <f t="shared" si="61"/>
        <v>10049.199999999999</v>
      </c>
      <c r="K294" s="522"/>
      <c r="L294" s="154"/>
      <c r="N294" s="154"/>
      <c r="O294" s="154"/>
    </row>
    <row r="295" spans="1:15" s="138" customFormat="1" ht="31.5" x14ac:dyDescent="0.25">
      <c r="A295" s="259" t="s">
        <v>161</v>
      </c>
      <c r="B295" s="191" t="s">
        <v>7</v>
      </c>
      <c r="C295" s="4">
        <v>14</v>
      </c>
      <c r="D295" s="26" t="s">
        <v>102</v>
      </c>
      <c r="E295" s="328"/>
      <c r="F295" s="159">
        <f>F296</f>
        <v>19343.8</v>
      </c>
      <c r="G295" s="306"/>
      <c r="H295" s="522">
        <f>H296</f>
        <v>12118.8</v>
      </c>
      <c r="I295" s="522"/>
      <c r="J295" s="522">
        <f>J296</f>
        <v>10049.199999999999</v>
      </c>
      <c r="K295" s="522"/>
      <c r="L295" s="154"/>
      <c r="N295" s="154"/>
      <c r="O295" s="154"/>
    </row>
    <row r="296" spans="1:15" s="138" customFormat="1" x14ac:dyDescent="0.25">
      <c r="A296" s="259" t="s">
        <v>162</v>
      </c>
      <c r="B296" s="191" t="s">
        <v>7</v>
      </c>
      <c r="C296" s="4">
        <v>14</v>
      </c>
      <c r="D296" s="26" t="s">
        <v>106</v>
      </c>
      <c r="E296" s="328"/>
      <c r="F296" s="159">
        <f>F297+F301</f>
        <v>19343.8</v>
      </c>
      <c r="G296" s="306"/>
      <c r="H296" s="522">
        <f>H297+H301</f>
        <v>12118.8</v>
      </c>
      <c r="I296" s="522"/>
      <c r="J296" s="522">
        <f>J297+J301</f>
        <v>10049.199999999999</v>
      </c>
      <c r="K296" s="522"/>
      <c r="L296" s="154"/>
      <c r="N296" s="154"/>
      <c r="O296" s="154"/>
    </row>
    <row r="297" spans="1:15" s="138" customFormat="1" ht="31.5" x14ac:dyDescent="0.25">
      <c r="A297" s="257" t="s">
        <v>163</v>
      </c>
      <c r="B297" s="191" t="s">
        <v>7</v>
      </c>
      <c r="C297" s="4">
        <v>14</v>
      </c>
      <c r="D297" s="156" t="s">
        <v>123</v>
      </c>
      <c r="E297" s="325"/>
      <c r="F297" s="159">
        <f>F298</f>
        <v>864.8</v>
      </c>
      <c r="G297" s="306"/>
      <c r="H297" s="522">
        <f>H298</f>
        <v>64.8</v>
      </c>
      <c r="I297" s="522"/>
      <c r="J297" s="522">
        <f>J298</f>
        <v>64.8</v>
      </c>
      <c r="K297" s="522"/>
      <c r="L297" s="154"/>
      <c r="N297" s="154"/>
      <c r="O297" s="154"/>
    </row>
    <row r="298" spans="1:15" s="138" customFormat="1" ht="31.5" x14ac:dyDescent="0.25">
      <c r="A298" s="257" t="s">
        <v>164</v>
      </c>
      <c r="B298" s="191" t="s">
        <v>7</v>
      </c>
      <c r="C298" s="4">
        <v>14</v>
      </c>
      <c r="D298" s="156" t="s">
        <v>165</v>
      </c>
      <c r="E298" s="325"/>
      <c r="F298" s="159">
        <f>F299</f>
        <v>864.8</v>
      </c>
      <c r="G298" s="306"/>
      <c r="H298" s="522">
        <f>H299</f>
        <v>64.8</v>
      </c>
      <c r="I298" s="522"/>
      <c r="J298" s="522">
        <f>J299</f>
        <v>64.8</v>
      </c>
      <c r="K298" s="522"/>
      <c r="L298" s="154"/>
      <c r="N298" s="154"/>
      <c r="O298" s="154"/>
    </row>
    <row r="299" spans="1:15" s="138" customFormat="1" ht="31.5" x14ac:dyDescent="0.25">
      <c r="A299" s="375" t="s">
        <v>60</v>
      </c>
      <c r="B299" s="191" t="s">
        <v>7</v>
      </c>
      <c r="C299" s="4">
        <v>14</v>
      </c>
      <c r="D299" s="156" t="s">
        <v>165</v>
      </c>
      <c r="E299" s="326">
        <v>600</v>
      </c>
      <c r="F299" s="159">
        <f>F300</f>
        <v>864.8</v>
      </c>
      <c r="G299" s="306"/>
      <c r="H299" s="522">
        <f>H300</f>
        <v>64.8</v>
      </c>
      <c r="I299" s="522"/>
      <c r="J299" s="522">
        <f>J300</f>
        <v>64.8</v>
      </c>
      <c r="K299" s="522"/>
      <c r="L299" s="154"/>
      <c r="N299" s="154"/>
      <c r="O299" s="154"/>
    </row>
    <row r="300" spans="1:15" s="138" customFormat="1" ht="47.25" x14ac:dyDescent="0.25">
      <c r="A300" s="375" t="s">
        <v>363</v>
      </c>
      <c r="B300" s="191" t="s">
        <v>7</v>
      </c>
      <c r="C300" s="4">
        <v>14</v>
      </c>
      <c r="D300" s="156" t="s">
        <v>165</v>
      </c>
      <c r="E300" s="326">
        <v>630</v>
      </c>
      <c r="F300" s="159">
        <f>'ведом. 2025-2027'!AD220</f>
        <v>864.8</v>
      </c>
      <c r="G300" s="306"/>
      <c r="H300" s="522">
        <f>'ведом. 2025-2027'!AE220</f>
        <v>64.8</v>
      </c>
      <c r="I300" s="522"/>
      <c r="J300" s="522">
        <f>'ведом. 2025-2027'!AF220</f>
        <v>64.8</v>
      </c>
      <c r="K300" s="522"/>
      <c r="L300" s="154"/>
      <c r="N300" s="154"/>
      <c r="O300" s="154"/>
    </row>
    <row r="301" spans="1:15" s="138" customFormat="1" ht="31.5" x14ac:dyDescent="0.25">
      <c r="A301" s="257" t="s">
        <v>167</v>
      </c>
      <c r="B301" s="191" t="s">
        <v>7</v>
      </c>
      <c r="C301" s="4" t="s">
        <v>44</v>
      </c>
      <c r="D301" s="156" t="s">
        <v>168</v>
      </c>
      <c r="E301" s="326"/>
      <c r="F301" s="159">
        <f t="shared" ref="F301:J302" si="62">F302</f>
        <v>18479</v>
      </c>
      <c r="G301" s="306"/>
      <c r="H301" s="522">
        <f t="shared" si="62"/>
        <v>12054</v>
      </c>
      <c r="I301" s="522"/>
      <c r="J301" s="522">
        <f t="shared" si="62"/>
        <v>9984.4</v>
      </c>
      <c r="K301" s="522"/>
      <c r="L301" s="154"/>
      <c r="N301" s="154"/>
      <c r="O301" s="154"/>
    </row>
    <row r="302" spans="1:15" s="138" customFormat="1" x14ac:dyDescent="0.25">
      <c r="A302" s="259" t="s">
        <v>169</v>
      </c>
      <c r="B302" s="191" t="s">
        <v>7</v>
      </c>
      <c r="C302" s="4" t="s">
        <v>44</v>
      </c>
      <c r="D302" s="156" t="s">
        <v>170</v>
      </c>
      <c r="E302" s="326"/>
      <c r="F302" s="159">
        <f>F303</f>
        <v>18479</v>
      </c>
      <c r="G302" s="306"/>
      <c r="H302" s="522">
        <f t="shared" si="62"/>
        <v>12054</v>
      </c>
      <c r="I302" s="522"/>
      <c r="J302" s="522">
        <f t="shared" si="62"/>
        <v>9984.4</v>
      </c>
      <c r="K302" s="522"/>
      <c r="L302" s="154"/>
      <c r="N302" s="154"/>
      <c r="O302" s="154"/>
    </row>
    <row r="303" spans="1:15" s="177" customFormat="1" x14ac:dyDescent="0.25">
      <c r="A303" s="253" t="s">
        <v>120</v>
      </c>
      <c r="B303" s="191" t="s">
        <v>7</v>
      </c>
      <c r="C303" s="4" t="s">
        <v>44</v>
      </c>
      <c r="D303" s="156" t="s">
        <v>170</v>
      </c>
      <c r="E303" s="326">
        <v>200</v>
      </c>
      <c r="F303" s="159">
        <f>F304</f>
        <v>18479</v>
      </c>
      <c r="G303" s="306"/>
      <c r="H303" s="522">
        <f>H304</f>
        <v>12054</v>
      </c>
      <c r="I303" s="522"/>
      <c r="J303" s="522">
        <f>J304</f>
        <v>9984.4</v>
      </c>
      <c r="K303" s="522"/>
      <c r="L303" s="154"/>
      <c r="N303" s="154"/>
      <c r="O303" s="154"/>
    </row>
    <row r="304" spans="1:15" s="177" customFormat="1" ht="31.5" x14ac:dyDescent="0.25">
      <c r="A304" s="253" t="s">
        <v>52</v>
      </c>
      <c r="B304" s="191" t="s">
        <v>7</v>
      </c>
      <c r="C304" s="4" t="s">
        <v>44</v>
      </c>
      <c r="D304" s="156" t="s">
        <v>170</v>
      </c>
      <c r="E304" s="326">
        <v>240</v>
      </c>
      <c r="F304" s="159">
        <f>'ведом. 2025-2027'!AD224</f>
        <v>18479</v>
      </c>
      <c r="G304" s="306"/>
      <c r="H304" s="522">
        <f>'ведом. 2025-2027'!AE224</f>
        <v>12054</v>
      </c>
      <c r="I304" s="522"/>
      <c r="J304" s="522">
        <f>'ведом. 2025-2027'!AF224</f>
        <v>9984.4</v>
      </c>
      <c r="K304" s="522"/>
      <c r="L304" s="154"/>
      <c r="N304" s="154"/>
      <c r="O304" s="154"/>
    </row>
    <row r="305" spans="1:15" s="519" customFormat="1" x14ac:dyDescent="0.25">
      <c r="A305" s="273" t="s">
        <v>332</v>
      </c>
      <c r="B305" s="453" t="s">
        <v>7</v>
      </c>
      <c r="C305" s="453" t="s">
        <v>44</v>
      </c>
      <c r="D305" s="282" t="s">
        <v>137</v>
      </c>
      <c r="E305" s="454"/>
      <c r="F305" s="522">
        <f>F306</f>
        <v>2000</v>
      </c>
      <c r="G305" s="522"/>
      <c r="H305" s="522">
        <f t="shared" ref="H305:J308" si="63">H306</f>
        <v>0</v>
      </c>
      <c r="I305" s="522"/>
      <c r="J305" s="522">
        <f t="shared" si="63"/>
        <v>0</v>
      </c>
      <c r="K305" s="522"/>
      <c r="L305" s="521"/>
      <c r="N305" s="521"/>
      <c r="O305" s="521"/>
    </row>
    <row r="306" spans="1:15" s="519" customFormat="1" x14ac:dyDescent="0.25">
      <c r="A306" s="451" t="s">
        <v>426</v>
      </c>
      <c r="B306" s="453" t="s">
        <v>7</v>
      </c>
      <c r="C306" s="453" t="s">
        <v>44</v>
      </c>
      <c r="D306" s="697" t="s">
        <v>427</v>
      </c>
      <c r="E306" s="454"/>
      <c r="F306" s="522">
        <f>F307</f>
        <v>2000</v>
      </c>
      <c r="G306" s="522"/>
      <c r="H306" s="522">
        <f t="shared" si="63"/>
        <v>0</v>
      </c>
      <c r="I306" s="522"/>
      <c r="J306" s="522">
        <f t="shared" si="63"/>
        <v>0</v>
      </c>
      <c r="K306" s="522"/>
      <c r="L306" s="521"/>
      <c r="N306" s="521"/>
      <c r="O306" s="521"/>
    </row>
    <row r="307" spans="1:15" s="519" customFormat="1" ht="20.25" customHeight="1" x14ac:dyDescent="0.25">
      <c r="A307" s="451" t="s">
        <v>817</v>
      </c>
      <c r="B307" s="453" t="s">
        <v>7</v>
      </c>
      <c r="C307" s="453" t="s">
        <v>44</v>
      </c>
      <c r="D307" s="697" t="s">
        <v>816</v>
      </c>
      <c r="E307" s="454"/>
      <c r="F307" s="522">
        <f>F308</f>
        <v>2000</v>
      </c>
      <c r="G307" s="522"/>
      <c r="H307" s="522">
        <f t="shared" si="63"/>
        <v>0</v>
      </c>
      <c r="I307" s="522"/>
      <c r="J307" s="522">
        <f t="shared" si="63"/>
        <v>0</v>
      </c>
      <c r="K307" s="522"/>
      <c r="L307" s="521"/>
      <c r="N307" s="521"/>
      <c r="O307" s="521"/>
    </row>
    <row r="308" spans="1:15" s="519" customFormat="1" x14ac:dyDescent="0.25">
      <c r="A308" s="451" t="s">
        <v>97</v>
      </c>
      <c r="B308" s="453" t="s">
        <v>7</v>
      </c>
      <c r="C308" s="453" t="s">
        <v>44</v>
      </c>
      <c r="D308" s="697" t="s">
        <v>816</v>
      </c>
      <c r="E308" s="454">
        <v>300</v>
      </c>
      <c r="F308" s="522">
        <f>F309</f>
        <v>2000</v>
      </c>
      <c r="G308" s="522"/>
      <c r="H308" s="522">
        <f t="shared" si="63"/>
        <v>0</v>
      </c>
      <c r="I308" s="522"/>
      <c r="J308" s="522">
        <f t="shared" si="63"/>
        <v>0</v>
      </c>
      <c r="K308" s="522"/>
      <c r="L308" s="521"/>
      <c r="N308" s="521"/>
      <c r="O308" s="521"/>
    </row>
    <row r="309" spans="1:15" s="519" customFormat="1" x14ac:dyDescent="0.25">
      <c r="A309" s="451" t="s">
        <v>40</v>
      </c>
      <c r="B309" s="453" t="s">
        <v>7</v>
      </c>
      <c r="C309" s="453" t="s">
        <v>44</v>
      </c>
      <c r="D309" s="697" t="s">
        <v>816</v>
      </c>
      <c r="E309" s="454">
        <v>320</v>
      </c>
      <c r="F309" s="522">
        <f>'ведом. 2025-2027'!AD229</f>
        <v>2000</v>
      </c>
      <c r="G309" s="522"/>
      <c r="H309" s="522">
        <f>'ведом. 2025-2027'!AF229</f>
        <v>0</v>
      </c>
      <c r="I309" s="522"/>
      <c r="J309" s="522">
        <f>'ведом. 2025-2027'!AH229</f>
        <v>0</v>
      </c>
      <c r="K309" s="522"/>
      <c r="L309" s="521"/>
      <c r="N309" s="521"/>
      <c r="O309" s="521"/>
    </row>
    <row r="310" spans="1:15" s="138" customFormat="1" x14ac:dyDescent="0.25">
      <c r="A310" s="384" t="s">
        <v>45</v>
      </c>
      <c r="B310" s="193" t="s">
        <v>49</v>
      </c>
      <c r="C310" s="188"/>
      <c r="D310" s="280"/>
      <c r="E310" s="330"/>
      <c r="F310" s="161">
        <f t="shared" ref="F310:K310" si="64">F320+F381+F335+F366+F311</f>
        <v>163732.5</v>
      </c>
      <c r="G310" s="347">
        <f t="shared" si="64"/>
        <v>1296</v>
      </c>
      <c r="H310" s="161">
        <f t="shared" si="64"/>
        <v>129237.7</v>
      </c>
      <c r="I310" s="161">
        <f t="shared" si="64"/>
        <v>1296</v>
      </c>
      <c r="J310" s="161">
        <f t="shared" si="64"/>
        <v>135586.9</v>
      </c>
      <c r="K310" s="161">
        <f t="shared" si="64"/>
        <v>1296</v>
      </c>
      <c r="L310" s="154"/>
      <c r="N310" s="154"/>
      <c r="O310" s="154"/>
    </row>
    <row r="311" spans="1:15" s="138" customFormat="1" ht="18.75" x14ac:dyDescent="0.3">
      <c r="A311" s="375" t="s">
        <v>15</v>
      </c>
      <c r="B311" s="11" t="s">
        <v>49</v>
      </c>
      <c r="C311" s="4" t="s">
        <v>5</v>
      </c>
      <c r="D311" s="322"/>
      <c r="E311" s="334"/>
      <c r="F311" s="159">
        <f t="shared" ref="F311:K314" si="65">F312</f>
        <v>919</v>
      </c>
      <c r="G311" s="306">
        <f t="shared" si="65"/>
        <v>919</v>
      </c>
      <c r="H311" s="522">
        <f t="shared" si="65"/>
        <v>919</v>
      </c>
      <c r="I311" s="522">
        <f t="shared" si="65"/>
        <v>919</v>
      </c>
      <c r="J311" s="522">
        <f t="shared" si="65"/>
        <v>919</v>
      </c>
      <c r="K311" s="522">
        <f t="shared" si="65"/>
        <v>919</v>
      </c>
      <c r="L311" s="154"/>
      <c r="N311" s="154"/>
      <c r="O311" s="154"/>
    </row>
    <row r="312" spans="1:15" s="138" customFormat="1" ht="18.75" x14ac:dyDescent="0.3">
      <c r="A312" s="385" t="s">
        <v>238</v>
      </c>
      <c r="B312" s="11" t="s">
        <v>49</v>
      </c>
      <c r="C312" s="4" t="s">
        <v>5</v>
      </c>
      <c r="D312" s="156" t="s">
        <v>138</v>
      </c>
      <c r="E312" s="334"/>
      <c r="F312" s="159">
        <f t="shared" si="65"/>
        <v>919</v>
      </c>
      <c r="G312" s="306">
        <f t="shared" si="65"/>
        <v>919</v>
      </c>
      <c r="H312" s="522">
        <f t="shared" si="65"/>
        <v>919</v>
      </c>
      <c r="I312" s="522">
        <f t="shared" si="65"/>
        <v>919</v>
      </c>
      <c r="J312" s="522">
        <f t="shared" si="65"/>
        <v>919</v>
      </c>
      <c r="K312" s="522">
        <f t="shared" si="65"/>
        <v>919</v>
      </c>
      <c r="L312" s="154"/>
      <c r="N312" s="154"/>
      <c r="O312" s="154"/>
    </row>
    <row r="313" spans="1:15" s="138" customFormat="1" ht="31.5" x14ac:dyDescent="0.3">
      <c r="A313" s="271" t="s">
        <v>423</v>
      </c>
      <c r="B313" s="11" t="s">
        <v>49</v>
      </c>
      <c r="C313" s="4" t="s">
        <v>5</v>
      </c>
      <c r="D313" s="156" t="s">
        <v>239</v>
      </c>
      <c r="E313" s="334"/>
      <c r="F313" s="159">
        <f t="shared" si="65"/>
        <v>919</v>
      </c>
      <c r="G313" s="306">
        <f t="shared" si="65"/>
        <v>919</v>
      </c>
      <c r="H313" s="522">
        <f t="shared" si="65"/>
        <v>919</v>
      </c>
      <c r="I313" s="522">
        <f t="shared" si="65"/>
        <v>919</v>
      </c>
      <c r="J313" s="522">
        <f t="shared" si="65"/>
        <v>919</v>
      </c>
      <c r="K313" s="522">
        <f t="shared" si="65"/>
        <v>919</v>
      </c>
      <c r="L313" s="154"/>
      <c r="N313" s="154"/>
      <c r="O313" s="154"/>
    </row>
    <row r="314" spans="1:15" s="138" customFormat="1" ht="18.75" x14ac:dyDescent="0.3">
      <c r="A314" s="255" t="s">
        <v>525</v>
      </c>
      <c r="B314" s="11" t="s">
        <v>49</v>
      </c>
      <c r="C314" s="4" t="s">
        <v>5</v>
      </c>
      <c r="D314" s="156" t="s">
        <v>240</v>
      </c>
      <c r="E314" s="334"/>
      <c r="F314" s="159">
        <f t="shared" si="65"/>
        <v>919</v>
      </c>
      <c r="G314" s="306">
        <f t="shared" si="65"/>
        <v>919</v>
      </c>
      <c r="H314" s="522">
        <f t="shared" si="65"/>
        <v>919</v>
      </c>
      <c r="I314" s="522">
        <f t="shared" si="65"/>
        <v>919</v>
      </c>
      <c r="J314" s="522">
        <f t="shared" si="65"/>
        <v>919</v>
      </c>
      <c r="K314" s="522">
        <f t="shared" si="65"/>
        <v>919</v>
      </c>
      <c r="L314" s="154"/>
      <c r="N314" s="154"/>
      <c r="O314" s="154"/>
    </row>
    <row r="315" spans="1:15" s="138" customFormat="1" ht="31.5" x14ac:dyDescent="0.25">
      <c r="A315" s="255" t="s">
        <v>421</v>
      </c>
      <c r="B315" s="11" t="s">
        <v>49</v>
      </c>
      <c r="C315" s="4" t="s">
        <v>5</v>
      </c>
      <c r="D315" s="156" t="s">
        <v>241</v>
      </c>
      <c r="E315" s="326"/>
      <c r="F315" s="159">
        <f>F318+F316</f>
        <v>919</v>
      </c>
      <c r="G315" s="522">
        <f t="shared" ref="G315:K315" si="66">G318+G316</f>
        <v>919</v>
      </c>
      <c r="H315" s="522">
        <f t="shared" si="66"/>
        <v>919</v>
      </c>
      <c r="I315" s="522">
        <f t="shared" si="66"/>
        <v>919</v>
      </c>
      <c r="J315" s="522">
        <f t="shared" si="66"/>
        <v>919</v>
      </c>
      <c r="K315" s="522">
        <f t="shared" si="66"/>
        <v>919</v>
      </c>
      <c r="L315" s="154"/>
      <c r="N315" s="154"/>
      <c r="O315" s="154"/>
    </row>
    <row r="316" spans="1:15" s="519" customFormat="1" ht="47.25" x14ac:dyDescent="0.25">
      <c r="A316" s="451" t="s">
        <v>41</v>
      </c>
      <c r="B316" s="474" t="s">
        <v>49</v>
      </c>
      <c r="C316" s="453" t="s">
        <v>5</v>
      </c>
      <c r="D316" s="542" t="s">
        <v>241</v>
      </c>
      <c r="E316" s="454">
        <v>100</v>
      </c>
      <c r="F316" s="522">
        <f>F317</f>
        <v>307</v>
      </c>
      <c r="G316" s="522">
        <f t="shared" ref="G316:J316" si="67">G317</f>
        <v>307</v>
      </c>
      <c r="H316" s="522">
        <f t="shared" si="67"/>
        <v>0</v>
      </c>
      <c r="I316" s="522"/>
      <c r="J316" s="522">
        <f t="shared" si="67"/>
        <v>0</v>
      </c>
      <c r="K316" s="522"/>
      <c r="L316" s="521"/>
      <c r="N316" s="521"/>
      <c r="O316" s="521"/>
    </row>
    <row r="317" spans="1:15" s="519" customFormat="1" x14ac:dyDescent="0.25">
      <c r="A317" s="451" t="s">
        <v>96</v>
      </c>
      <c r="B317" s="474" t="s">
        <v>49</v>
      </c>
      <c r="C317" s="453" t="s">
        <v>5</v>
      </c>
      <c r="D317" s="542" t="s">
        <v>241</v>
      </c>
      <c r="E317" s="454">
        <v>120</v>
      </c>
      <c r="F317" s="522">
        <f>'ведом. 2025-2027'!AD878</f>
        <v>307</v>
      </c>
      <c r="G317" s="524">
        <f>F317</f>
        <v>307</v>
      </c>
      <c r="H317" s="522">
        <f>'ведом. 2025-2027'!AE878</f>
        <v>0</v>
      </c>
      <c r="I317" s="522"/>
      <c r="J317" s="522">
        <f>'ведом. 2025-2027'!AF878</f>
        <v>0</v>
      </c>
      <c r="K317" s="522"/>
      <c r="L317" s="521"/>
      <c r="N317" s="521"/>
      <c r="O317" s="521"/>
    </row>
    <row r="318" spans="1:15" s="138" customFormat="1" x14ac:dyDescent="0.25">
      <c r="A318" s="375" t="s">
        <v>120</v>
      </c>
      <c r="B318" s="11" t="s">
        <v>49</v>
      </c>
      <c r="C318" s="4" t="s">
        <v>5</v>
      </c>
      <c r="D318" s="156" t="s">
        <v>241</v>
      </c>
      <c r="E318" s="325">
        <v>200</v>
      </c>
      <c r="F318" s="159">
        <f t="shared" ref="F318:K318" si="68">F319</f>
        <v>612</v>
      </c>
      <c r="G318" s="306">
        <f t="shared" si="68"/>
        <v>612</v>
      </c>
      <c r="H318" s="522">
        <f t="shared" si="68"/>
        <v>919</v>
      </c>
      <c r="I318" s="522">
        <f t="shared" si="68"/>
        <v>919</v>
      </c>
      <c r="J318" s="522">
        <f t="shared" si="68"/>
        <v>919</v>
      </c>
      <c r="K318" s="522">
        <f t="shared" si="68"/>
        <v>919</v>
      </c>
      <c r="L318" s="154"/>
      <c r="N318" s="154"/>
      <c r="O318" s="154"/>
    </row>
    <row r="319" spans="1:15" s="138" customFormat="1" ht="31.5" x14ac:dyDescent="0.25">
      <c r="A319" s="375" t="s">
        <v>52</v>
      </c>
      <c r="B319" s="11" t="s">
        <v>49</v>
      </c>
      <c r="C319" s="4" t="s">
        <v>5</v>
      </c>
      <c r="D319" s="156" t="s">
        <v>241</v>
      </c>
      <c r="E319" s="326">
        <v>240</v>
      </c>
      <c r="F319" s="159">
        <f>'ведом. 2025-2027'!AD880</f>
        <v>612</v>
      </c>
      <c r="G319" s="306">
        <f>F319</f>
        <v>612</v>
      </c>
      <c r="H319" s="522">
        <f>'ведом. 2025-2027'!AE880</f>
        <v>919</v>
      </c>
      <c r="I319" s="522">
        <f>H319</f>
        <v>919</v>
      </c>
      <c r="J319" s="522">
        <f>'ведом. 2025-2027'!AF880</f>
        <v>919</v>
      </c>
      <c r="K319" s="522">
        <f>J319</f>
        <v>919</v>
      </c>
      <c r="L319" s="154"/>
      <c r="N319" s="154"/>
      <c r="O319" s="154"/>
    </row>
    <row r="320" spans="1:15" s="138" customFormat="1" x14ac:dyDescent="0.25">
      <c r="A320" s="375" t="s">
        <v>71</v>
      </c>
      <c r="B320" s="191" t="s">
        <v>49</v>
      </c>
      <c r="C320" s="4" t="s">
        <v>16</v>
      </c>
      <c r="D320" s="26"/>
      <c r="E320" s="325"/>
      <c r="F320" s="159">
        <f>F321+F328</f>
        <v>34883.700000000004</v>
      </c>
      <c r="G320" s="306"/>
      <c r="H320" s="522">
        <f>H321+H328</f>
        <v>30338.7</v>
      </c>
      <c r="I320" s="522"/>
      <c r="J320" s="522">
        <f>J321+J328</f>
        <v>30337.899999999998</v>
      </c>
      <c r="K320" s="522"/>
      <c r="L320" s="154"/>
      <c r="N320" s="154"/>
      <c r="O320" s="154"/>
    </row>
    <row r="321" spans="1:15" s="138" customFormat="1" x14ac:dyDescent="0.25">
      <c r="A321" s="255" t="s">
        <v>186</v>
      </c>
      <c r="B321" s="192" t="s">
        <v>49</v>
      </c>
      <c r="C321" s="186" t="s">
        <v>16</v>
      </c>
      <c r="D321" s="156" t="s">
        <v>112</v>
      </c>
      <c r="E321" s="327"/>
      <c r="F321" s="159">
        <f t="shared" ref="F321:J326" si="69">F322</f>
        <v>34882.9</v>
      </c>
      <c r="G321" s="306"/>
      <c r="H321" s="522">
        <f t="shared" si="69"/>
        <v>30337.3</v>
      </c>
      <c r="I321" s="522"/>
      <c r="J321" s="522">
        <f t="shared" si="69"/>
        <v>30337.3</v>
      </c>
      <c r="K321" s="522"/>
      <c r="L321" s="154"/>
      <c r="N321" s="154"/>
      <c r="O321" s="154"/>
    </row>
    <row r="322" spans="1:15" s="138" customFormat="1" x14ac:dyDescent="0.25">
      <c r="A322" s="255" t="s">
        <v>189</v>
      </c>
      <c r="B322" s="192" t="s">
        <v>49</v>
      </c>
      <c r="C322" s="186" t="s">
        <v>16</v>
      </c>
      <c r="D322" s="156" t="s">
        <v>190</v>
      </c>
      <c r="E322" s="327"/>
      <c r="F322" s="159">
        <f t="shared" si="69"/>
        <v>34882.9</v>
      </c>
      <c r="G322" s="306"/>
      <c r="H322" s="522">
        <f t="shared" si="69"/>
        <v>30337.3</v>
      </c>
      <c r="I322" s="522"/>
      <c r="J322" s="522">
        <f t="shared" si="69"/>
        <v>30337.3</v>
      </c>
      <c r="K322" s="522"/>
      <c r="L322" s="154"/>
      <c r="N322" s="154"/>
      <c r="O322" s="154"/>
    </row>
    <row r="323" spans="1:15" s="138" customFormat="1" ht="31.5" x14ac:dyDescent="0.25">
      <c r="A323" s="255" t="s">
        <v>191</v>
      </c>
      <c r="B323" s="192" t="s">
        <v>49</v>
      </c>
      <c r="C323" s="186" t="s">
        <v>16</v>
      </c>
      <c r="D323" s="156" t="s">
        <v>192</v>
      </c>
      <c r="E323" s="327"/>
      <c r="F323" s="159">
        <f t="shared" si="69"/>
        <v>34882.9</v>
      </c>
      <c r="G323" s="306"/>
      <c r="H323" s="522">
        <f t="shared" si="69"/>
        <v>30337.3</v>
      </c>
      <c r="I323" s="522"/>
      <c r="J323" s="522">
        <f t="shared" si="69"/>
        <v>30337.3</v>
      </c>
      <c r="K323" s="522"/>
      <c r="L323" s="154"/>
      <c r="N323" s="154"/>
      <c r="O323" s="154"/>
    </row>
    <row r="324" spans="1:15" s="138" customFormat="1" ht="31.5" x14ac:dyDescent="0.25">
      <c r="A324" s="278" t="s">
        <v>203</v>
      </c>
      <c r="B324" s="192" t="s">
        <v>49</v>
      </c>
      <c r="C324" s="186" t="s">
        <v>16</v>
      </c>
      <c r="D324" s="281" t="s">
        <v>204</v>
      </c>
      <c r="E324" s="327"/>
      <c r="F324" s="159">
        <f t="shared" si="69"/>
        <v>34882.9</v>
      </c>
      <c r="G324" s="306"/>
      <c r="H324" s="522">
        <f t="shared" si="69"/>
        <v>30337.3</v>
      </c>
      <c r="I324" s="522"/>
      <c r="J324" s="522">
        <f t="shared" si="69"/>
        <v>30337.3</v>
      </c>
      <c r="K324" s="522"/>
      <c r="L324" s="154"/>
      <c r="N324" s="154"/>
      <c r="O324" s="154"/>
    </row>
    <row r="325" spans="1:15" s="138" customFormat="1" ht="47.25" x14ac:dyDescent="0.25">
      <c r="A325" s="258" t="s">
        <v>368</v>
      </c>
      <c r="B325" s="192" t="s">
        <v>49</v>
      </c>
      <c r="C325" s="186" t="s">
        <v>16</v>
      </c>
      <c r="D325" s="281" t="s">
        <v>316</v>
      </c>
      <c r="E325" s="327"/>
      <c r="F325" s="159">
        <f t="shared" si="69"/>
        <v>34882.9</v>
      </c>
      <c r="G325" s="306"/>
      <c r="H325" s="522">
        <f t="shared" si="69"/>
        <v>30337.3</v>
      </c>
      <c r="I325" s="522"/>
      <c r="J325" s="522">
        <f t="shared" si="69"/>
        <v>30337.3</v>
      </c>
      <c r="K325" s="522"/>
      <c r="L325" s="154"/>
      <c r="N325" s="154"/>
      <c r="O325" s="154"/>
    </row>
    <row r="326" spans="1:15" s="138" customFormat="1" ht="31.5" x14ac:dyDescent="0.25">
      <c r="A326" s="375" t="s">
        <v>60</v>
      </c>
      <c r="B326" s="192" t="s">
        <v>49</v>
      </c>
      <c r="C326" s="186" t="s">
        <v>16</v>
      </c>
      <c r="D326" s="281" t="s">
        <v>316</v>
      </c>
      <c r="E326" s="327">
        <v>600</v>
      </c>
      <c r="F326" s="159">
        <f t="shared" si="69"/>
        <v>34882.9</v>
      </c>
      <c r="G326" s="306"/>
      <c r="H326" s="522">
        <f t="shared" si="69"/>
        <v>30337.3</v>
      </c>
      <c r="I326" s="522"/>
      <c r="J326" s="522">
        <f t="shared" si="69"/>
        <v>30337.3</v>
      </c>
      <c r="K326" s="522"/>
      <c r="L326" s="154"/>
      <c r="N326" s="154"/>
      <c r="O326" s="154"/>
    </row>
    <row r="327" spans="1:15" s="138" customFormat="1" x14ac:dyDescent="0.25">
      <c r="A327" s="375" t="s">
        <v>61</v>
      </c>
      <c r="B327" s="192" t="s">
        <v>49</v>
      </c>
      <c r="C327" s="186" t="s">
        <v>16</v>
      </c>
      <c r="D327" s="281" t="s">
        <v>316</v>
      </c>
      <c r="E327" s="327">
        <v>610</v>
      </c>
      <c r="F327" s="159">
        <f>'ведом. 2025-2027'!AD238</f>
        <v>34882.9</v>
      </c>
      <c r="G327" s="306"/>
      <c r="H327" s="522">
        <f>'ведом. 2025-2027'!AE238</f>
        <v>30337.3</v>
      </c>
      <c r="I327" s="522"/>
      <c r="J327" s="522">
        <f>'ведом. 2025-2027'!AF238</f>
        <v>30337.3</v>
      </c>
      <c r="K327" s="522"/>
      <c r="L327" s="154"/>
      <c r="N327" s="154"/>
      <c r="O327" s="154"/>
    </row>
    <row r="328" spans="1:15" s="138" customFormat="1" ht="31.5" x14ac:dyDescent="0.25">
      <c r="A328" s="255" t="s">
        <v>226</v>
      </c>
      <c r="B328" s="191" t="s">
        <v>49</v>
      </c>
      <c r="C328" s="4" t="s">
        <v>16</v>
      </c>
      <c r="D328" s="156" t="s">
        <v>227</v>
      </c>
      <c r="E328" s="325"/>
      <c r="F328" s="159">
        <f t="shared" ref="F328:J332" si="70">F329</f>
        <v>0.79999999999999993</v>
      </c>
      <c r="G328" s="306"/>
      <c r="H328" s="522">
        <f t="shared" si="70"/>
        <v>1.4000000000000001</v>
      </c>
      <c r="I328" s="522"/>
      <c r="J328" s="522">
        <f t="shared" si="70"/>
        <v>0.6</v>
      </c>
      <c r="K328" s="522"/>
      <c r="L328" s="154"/>
      <c r="N328" s="154"/>
      <c r="O328" s="154"/>
    </row>
    <row r="329" spans="1:15" s="138" customFormat="1" x14ac:dyDescent="0.25">
      <c r="A329" s="255" t="s">
        <v>228</v>
      </c>
      <c r="B329" s="191" t="s">
        <v>49</v>
      </c>
      <c r="C329" s="4" t="s">
        <v>16</v>
      </c>
      <c r="D329" s="156" t="s">
        <v>229</v>
      </c>
      <c r="E329" s="326"/>
      <c r="F329" s="159">
        <f t="shared" si="70"/>
        <v>0.79999999999999993</v>
      </c>
      <c r="G329" s="306"/>
      <c r="H329" s="522">
        <f t="shared" si="70"/>
        <v>1.4000000000000001</v>
      </c>
      <c r="I329" s="522"/>
      <c r="J329" s="522">
        <f t="shared" si="70"/>
        <v>0.6</v>
      </c>
      <c r="K329" s="522"/>
      <c r="L329" s="154"/>
      <c r="N329" s="154"/>
      <c r="O329" s="154"/>
    </row>
    <row r="330" spans="1:15" s="138" customFormat="1" x14ac:dyDescent="0.25">
      <c r="A330" s="257" t="s">
        <v>425</v>
      </c>
      <c r="B330" s="191" t="s">
        <v>49</v>
      </c>
      <c r="C330" s="4" t="s">
        <v>16</v>
      </c>
      <c r="D330" s="156" t="s">
        <v>338</v>
      </c>
      <c r="E330" s="326"/>
      <c r="F330" s="159">
        <f t="shared" si="70"/>
        <v>0.79999999999999993</v>
      </c>
      <c r="G330" s="306"/>
      <c r="H330" s="522">
        <f t="shared" si="70"/>
        <v>1.4000000000000001</v>
      </c>
      <c r="I330" s="522"/>
      <c r="J330" s="522">
        <f t="shared" si="70"/>
        <v>0.6</v>
      </c>
      <c r="K330" s="522"/>
      <c r="L330" s="154"/>
      <c r="N330" s="154"/>
      <c r="O330" s="154"/>
    </row>
    <row r="331" spans="1:15" s="138" customFormat="1" ht="47.25" x14ac:dyDescent="0.25">
      <c r="A331" s="256" t="s">
        <v>230</v>
      </c>
      <c r="B331" s="191" t="s">
        <v>49</v>
      </c>
      <c r="C331" s="4" t="s">
        <v>16</v>
      </c>
      <c r="D331" s="156" t="s">
        <v>339</v>
      </c>
      <c r="E331" s="326"/>
      <c r="F331" s="159">
        <f>F332</f>
        <v>0.79999999999999993</v>
      </c>
      <c r="G331" s="522"/>
      <c r="H331" s="522">
        <f t="shared" si="70"/>
        <v>1.4000000000000001</v>
      </c>
      <c r="I331" s="522"/>
      <c r="J331" s="522">
        <f t="shared" si="70"/>
        <v>0.6</v>
      </c>
      <c r="K331" s="522"/>
      <c r="L331" s="154"/>
      <c r="N331" s="154"/>
      <c r="O331" s="154"/>
    </row>
    <row r="332" spans="1:15" s="138" customFormat="1" ht="47.25" x14ac:dyDescent="0.25">
      <c r="A332" s="256" t="s">
        <v>319</v>
      </c>
      <c r="B332" s="191" t="s">
        <v>49</v>
      </c>
      <c r="C332" s="4" t="s">
        <v>16</v>
      </c>
      <c r="D332" s="156" t="s">
        <v>340</v>
      </c>
      <c r="E332" s="326"/>
      <c r="F332" s="159">
        <f t="shared" si="70"/>
        <v>0.79999999999999993</v>
      </c>
      <c r="G332" s="306"/>
      <c r="H332" s="522">
        <f t="shared" si="70"/>
        <v>1.4000000000000001</v>
      </c>
      <c r="I332" s="522"/>
      <c r="J332" s="522">
        <f t="shared" si="70"/>
        <v>0.6</v>
      </c>
      <c r="K332" s="522"/>
      <c r="L332" s="154"/>
      <c r="N332" s="154"/>
      <c r="O332" s="154"/>
    </row>
    <row r="333" spans="1:15" s="138" customFormat="1" x14ac:dyDescent="0.25">
      <c r="A333" s="375" t="s">
        <v>120</v>
      </c>
      <c r="B333" s="191" t="s">
        <v>49</v>
      </c>
      <c r="C333" s="4" t="s">
        <v>16</v>
      </c>
      <c r="D333" s="156" t="s">
        <v>340</v>
      </c>
      <c r="E333" s="326">
        <v>200</v>
      </c>
      <c r="F333" s="159">
        <f>'ведом. 2025-2027'!AD245</f>
        <v>0.79999999999999993</v>
      </c>
      <c r="G333" s="306"/>
      <c r="H333" s="522">
        <f>'ведом. 2025-2027'!AE245</f>
        <v>1.4000000000000001</v>
      </c>
      <c r="I333" s="522"/>
      <c r="J333" s="522">
        <f>J334</f>
        <v>0.6</v>
      </c>
      <c r="K333" s="522"/>
      <c r="L333" s="154"/>
      <c r="N333" s="154"/>
      <c r="O333" s="154"/>
    </row>
    <row r="334" spans="1:15" s="138" customFormat="1" ht="31.5" x14ac:dyDescent="0.25">
      <c r="A334" s="375" t="s">
        <v>52</v>
      </c>
      <c r="B334" s="192" t="s">
        <v>49</v>
      </c>
      <c r="C334" s="186" t="s">
        <v>16</v>
      </c>
      <c r="D334" s="156" t="s">
        <v>340</v>
      </c>
      <c r="E334" s="326">
        <v>240</v>
      </c>
      <c r="F334" s="159">
        <f>'ведом. 2025-2027'!AD245</f>
        <v>0.79999999999999993</v>
      </c>
      <c r="G334" s="306"/>
      <c r="H334" s="522">
        <f>'ведом. 2025-2027'!AE245</f>
        <v>1.4000000000000001</v>
      </c>
      <c r="I334" s="522"/>
      <c r="J334" s="522">
        <f>'ведом. 2025-2027'!AF245</f>
        <v>0.6</v>
      </c>
      <c r="K334" s="522"/>
      <c r="L334" s="154"/>
      <c r="N334" s="154"/>
      <c r="O334" s="154"/>
    </row>
    <row r="335" spans="1:15" s="138" customFormat="1" x14ac:dyDescent="0.25">
      <c r="A335" s="375" t="s">
        <v>93</v>
      </c>
      <c r="B335" s="191" t="s">
        <v>49</v>
      </c>
      <c r="C335" s="4" t="s">
        <v>22</v>
      </c>
      <c r="D335" s="279"/>
      <c r="E335" s="326"/>
      <c r="F335" s="159">
        <f>F336+F360</f>
        <v>122623.1</v>
      </c>
      <c r="G335" s="306"/>
      <c r="H335" s="522">
        <f>H336+H360</f>
        <v>94600</v>
      </c>
      <c r="I335" s="522"/>
      <c r="J335" s="522">
        <f>J336+J360</f>
        <v>103953</v>
      </c>
      <c r="K335" s="522"/>
      <c r="L335" s="154"/>
      <c r="N335" s="154"/>
      <c r="O335" s="154"/>
    </row>
    <row r="336" spans="1:15" s="138" customFormat="1" ht="31.5" x14ac:dyDescent="0.25">
      <c r="A336" s="255" t="s">
        <v>226</v>
      </c>
      <c r="B336" s="191" t="s">
        <v>49</v>
      </c>
      <c r="C336" s="4" t="s">
        <v>22</v>
      </c>
      <c r="D336" s="156" t="s">
        <v>227</v>
      </c>
      <c r="E336" s="326"/>
      <c r="F336" s="159">
        <f>F337+F355+F350</f>
        <v>115335.1</v>
      </c>
      <c r="G336" s="522"/>
      <c r="H336" s="522">
        <f>H337+H355+H350</f>
        <v>87020</v>
      </c>
      <c r="I336" s="522"/>
      <c r="J336" s="522">
        <f>J337+J355+J350</f>
        <v>96070</v>
      </c>
      <c r="K336" s="522"/>
      <c r="L336" s="154"/>
      <c r="N336" s="154"/>
      <c r="O336" s="154"/>
    </row>
    <row r="337" spans="1:15" s="138" customFormat="1" x14ac:dyDescent="0.25">
      <c r="A337" s="255" t="s">
        <v>231</v>
      </c>
      <c r="B337" s="191" t="s">
        <v>49</v>
      </c>
      <c r="C337" s="4" t="s">
        <v>22</v>
      </c>
      <c r="D337" s="156" t="s">
        <v>232</v>
      </c>
      <c r="E337" s="326"/>
      <c r="F337" s="159">
        <f>F346+F338+F342</f>
        <v>36903</v>
      </c>
      <c r="G337" s="522"/>
      <c r="H337" s="522">
        <f t="shared" ref="H337:J337" si="71">H346+H338+H342</f>
        <v>42065</v>
      </c>
      <c r="I337" s="522"/>
      <c r="J337" s="522">
        <f t="shared" si="71"/>
        <v>41464</v>
      </c>
      <c r="K337" s="522"/>
      <c r="L337" s="154"/>
      <c r="N337" s="154"/>
      <c r="O337" s="154"/>
    </row>
    <row r="338" spans="1:15" s="519" customFormat="1" ht="31.5" x14ac:dyDescent="0.25">
      <c r="A338" s="457" t="s">
        <v>879</v>
      </c>
      <c r="B338" s="453" t="s">
        <v>49</v>
      </c>
      <c r="C338" s="453" t="s">
        <v>22</v>
      </c>
      <c r="D338" s="542" t="s">
        <v>878</v>
      </c>
      <c r="E338" s="454"/>
      <c r="F338" s="522">
        <f>F339</f>
        <v>12000</v>
      </c>
      <c r="G338" s="522"/>
      <c r="H338" s="522">
        <f t="shared" ref="H338:J340" si="72">H339</f>
        <v>0</v>
      </c>
      <c r="I338" s="522"/>
      <c r="J338" s="522">
        <f t="shared" si="72"/>
        <v>0</v>
      </c>
      <c r="K338" s="522"/>
      <c r="L338" s="521"/>
      <c r="N338" s="521"/>
      <c r="O338" s="521"/>
    </row>
    <row r="339" spans="1:15" s="519" customFormat="1" ht="31.5" x14ac:dyDescent="0.25">
      <c r="A339" s="457" t="s">
        <v>880</v>
      </c>
      <c r="B339" s="453" t="s">
        <v>49</v>
      </c>
      <c r="C339" s="453" t="s">
        <v>22</v>
      </c>
      <c r="D339" s="542" t="s">
        <v>881</v>
      </c>
      <c r="E339" s="454"/>
      <c r="F339" s="522">
        <f>F340</f>
        <v>12000</v>
      </c>
      <c r="G339" s="522"/>
      <c r="H339" s="522">
        <f t="shared" si="72"/>
        <v>0</v>
      </c>
      <c r="I339" s="522"/>
      <c r="J339" s="522">
        <f t="shared" si="72"/>
        <v>0</v>
      </c>
      <c r="K339" s="522"/>
      <c r="L339" s="521"/>
      <c r="N339" s="521"/>
      <c r="O339" s="521"/>
    </row>
    <row r="340" spans="1:15" s="519" customFormat="1" x14ac:dyDescent="0.25">
      <c r="A340" s="451" t="s">
        <v>120</v>
      </c>
      <c r="B340" s="453" t="s">
        <v>49</v>
      </c>
      <c r="C340" s="453" t="s">
        <v>22</v>
      </c>
      <c r="D340" s="542" t="s">
        <v>881</v>
      </c>
      <c r="E340" s="482">
        <v>200</v>
      </c>
      <c r="F340" s="522">
        <f>F341</f>
        <v>12000</v>
      </c>
      <c r="G340" s="522"/>
      <c r="H340" s="522">
        <f t="shared" si="72"/>
        <v>0</v>
      </c>
      <c r="I340" s="522"/>
      <c r="J340" s="522">
        <f t="shared" si="72"/>
        <v>0</v>
      </c>
      <c r="K340" s="522"/>
      <c r="L340" s="521"/>
      <c r="M340" s="521">
        <f>F341+F349+F354+F359</f>
        <v>115335.1</v>
      </c>
      <c r="N340" s="521">
        <f>H341+H345+H349+H354+H359</f>
        <v>87020</v>
      </c>
      <c r="O340" s="521">
        <f>J341+J349+J354+J359</f>
        <v>96070</v>
      </c>
    </row>
    <row r="341" spans="1:15" s="519" customFormat="1" ht="31.5" x14ac:dyDescent="0.25">
      <c r="A341" s="451" t="s">
        <v>52</v>
      </c>
      <c r="B341" s="453" t="s">
        <v>49</v>
      </c>
      <c r="C341" s="453" t="s">
        <v>22</v>
      </c>
      <c r="D341" s="542" t="s">
        <v>881</v>
      </c>
      <c r="E341" s="454">
        <v>240</v>
      </c>
      <c r="F341" s="522">
        <f>'ведом. 2025-2027'!AD887</f>
        <v>12000</v>
      </c>
      <c r="G341" s="524"/>
      <c r="H341" s="522">
        <f>'ведом. 2025-2027'!AE887</f>
        <v>0</v>
      </c>
      <c r="I341" s="522"/>
      <c r="J341" s="522">
        <f>'ведом. 2025-2027'!AF887</f>
        <v>0</v>
      </c>
      <c r="K341" s="522"/>
      <c r="L341" s="521"/>
      <c r="N341" s="521"/>
      <c r="O341" s="521"/>
    </row>
    <row r="342" spans="1:15" s="519" customFormat="1" x14ac:dyDescent="0.25">
      <c r="A342" s="451" t="s">
        <v>893</v>
      </c>
      <c r="B342" s="453" t="s">
        <v>49</v>
      </c>
      <c r="C342" s="453" t="s">
        <v>22</v>
      </c>
      <c r="D342" s="542" t="s">
        <v>895</v>
      </c>
      <c r="E342" s="454"/>
      <c r="F342" s="522">
        <f>F343</f>
        <v>0</v>
      </c>
      <c r="G342" s="522"/>
      <c r="H342" s="522">
        <f t="shared" ref="H342:J344" si="73">H343</f>
        <v>2500</v>
      </c>
      <c r="I342" s="522"/>
      <c r="J342" s="522">
        <f t="shared" si="73"/>
        <v>0</v>
      </c>
      <c r="K342" s="522"/>
      <c r="L342" s="521"/>
      <c r="N342" s="521"/>
      <c r="O342" s="521"/>
    </row>
    <row r="343" spans="1:15" s="519" customFormat="1" ht="31.5" x14ac:dyDescent="0.25">
      <c r="A343" s="451" t="s">
        <v>894</v>
      </c>
      <c r="B343" s="453" t="s">
        <v>49</v>
      </c>
      <c r="C343" s="453" t="s">
        <v>22</v>
      </c>
      <c r="D343" s="542" t="s">
        <v>896</v>
      </c>
      <c r="E343" s="454"/>
      <c r="F343" s="522">
        <f>F344</f>
        <v>0</v>
      </c>
      <c r="G343" s="522"/>
      <c r="H343" s="522">
        <f t="shared" si="73"/>
        <v>2500</v>
      </c>
      <c r="I343" s="522"/>
      <c r="J343" s="522">
        <f t="shared" si="73"/>
        <v>0</v>
      </c>
      <c r="K343" s="522"/>
      <c r="L343" s="521"/>
      <c r="N343" s="521"/>
      <c r="O343" s="521"/>
    </row>
    <row r="344" spans="1:15" s="519" customFormat="1" x14ac:dyDescent="0.25">
      <c r="A344" s="451" t="s">
        <v>120</v>
      </c>
      <c r="B344" s="453" t="s">
        <v>49</v>
      </c>
      <c r="C344" s="453" t="s">
        <v>22</v>
      </c>
      <c r="D344" s="542" t="s">
        <v>896</v>
      </c>
      <c r="E344" s="482">
        <v>200</v>
      </c>
      <c r="F344" s="522">
        <f>F345</f>
        <v>0</v>
      </c>
      <c r="G344" s="522"/>
      <c r="H344" s="522">
        <f t="shared" si="73"/>
        <v>2500</v>
      </c>
      <c r="I344" s="522"/>
      <c r="J344" s="522">
        <f t="shared" si="73"/>
        <v>0</v>
      </c>
      <c r="K344" s="522"/>
      <c r="L344" s="521"/>
      <c r="N344" s="521"/>
      <c r="O344" s="521"/>
    </row>
    <row r="345" spans="1:15" s="519" customFormat="1" ht="31.5" x14ac:dyDescent="0.25">
      <c r="A345" s="451" t="s">
        <v>52</v>
      </c>
      <c r="B345" s="453" t="s">
        <v>49</v>
      </c>
      <c r="C345" s="453" t="s">
        <v>22</v>
      </c>
      <c r="D345" s="542" t="s">
        <v>896</v>
      </c>
      <c r="E345" s="454">
        <v>240</v>
      </c>
      <c r="F345" s="522">
        <f>'ведом. 2025-2027'!AD891</f>
        <v>0</v>
      </c>
      <c r="G345" s="524"/>
      <c r="H345" s="522">
        <f>'ведом. 2025-2027'!AE891</f>
        <v>2500</v>
      </c>
      <c r="I345" s="522"/>
      <c r="J345" s="522">
        <f>'ведом. 2025-2027'!AF891</f>
        <v>0</v>
      </c>
      <c r="K345" s="522"/>
      <c r="L345" s="521"/>
      <c r="N345" s="521"/>
      <c r="O345" s="521"/>
    </row>
    <row r="346" spans="1:15" s="138" customFormat="1" ht="31.5" x14ac:dyDescent="0.25">
      <c r="A346" s="451" t="s">
        <v>714</v>
      </c>
      <c r="B346" s="453" t="s">
        <v>49</v>
      </c>
      <c r="C346" s="454" t="s">
        <v>22</v>
      </c>
      <c r="D346" s="458" t="s">
        <v>501</v>
      </c>
      <c r="E346" s="460"/>
      <c r="F346" s="159">
        <f>F347</f>
        <v>24903</v>
      </c>
      <c r="G346" s="306"/>
      <c r="H346" s="522">
        <f>H347</f>
        <v>39565</v>
      </c>
      <c r="I346" s="522"/>
      <c r="J346" s="522">
        <f>J347</f>
        <v>41464</v>
      </c>
      <c r="K346" s="522"/>
      <c r="L346" s="154"/>
      <c r="N346" s="154"/>
      <c r="O346" s="154"/>
    </row>
    <row r="347" spans="1:15" s="138" customFormat="1" ht="31.5" x14ac:dyDescent="0.25">
      <c r="A347" s="451" t="s">
        <v>680</v>
      </c>
      <c r="B347" s="453" t="s">
        <v>49</v>
      </c>
      <c r="C347" s="454" t="s">
        <v>22</v>
      </c>
      <c r="D347" s="458" t="s">
        <v>713</v>
      </c>
      <c r="E347" s="460"/>
      <c r="F347" s="159">
        <f>F348</f>
        <v>24903</v>
      </c>
      <c r="G347" s="306"/>
      <c r="H347" s="522">
        <f>H348</f>
        <v>39565</v>
      </c>
      <c r="I347" s="522"/>
      <c r="J347" s="522">
        <f>J348</f>
        <v>41464</v>
      </c>
      <c r="K347" s="522"/>
      <c r="L347" s="154"/>
      <c r="N347" s="154"/>
      <c r="O347" s="154"/>
    </row>
    <row r="348" spans="1:15" s="138" customFormat="1" x14ac:dyDescent="0.25">
      <c r="A348" s="451" t="s">
        <v>120</v>
      </c>
      <c r="B348" s="472" t="s">
        <v>49</v>
      </c>
      <c r="C348" s="473" t="s">
        <v>22</v>
      </c>
      <c r="D348" s="458" t="s">
        <v>713</v>
      </c>
      <c r="E348" s="460">
        <v>200</v>
      </c>
      <c r="F348" s="159">
        <f>F349</f>
        <v>24903</v>
      </c>
      <c r="G348" s="522"/>
      <c r="H348" s="522">
        <f t="shared" ref="H348:J348" si="74">H349</f>
        <v>39565</v>
      </c>
      <c r="I348" s="522"/>
      <c r="J348" s="522">
        <f t="shared" si="74"/>
        <v>41464</v>
      </c>
      <c r="K348" s="522"/>
      <c r="L348" s="154"/>
      <c r="N348" s="154"/>
      <c r="O348" s="154"/>
    </row>
    <row r="349" spans="1:15" s="138" customFormat="1" ht="31.5" x14ac:dyDescent="0.25">
      <c r="A349" s="451" t="s">
        <v>52</v>
      </c>
      <c r="B349" s="472" t="s">
        <v>49</v>
      </c>
      <c r="C349" s="473" t="s">
        <v>22</v>
      </c>
      <c r="D349" s="458" t="s">
        <v>713</v>
      </c>
      <c r="E349" s="460">
        <v>240</v>
      </c>
      <c r="F349" s="159">
        <f>'ведом. 2025-2027'!AD895</f>
        <v>24903</v>
      </c>
      <c r="G349" s="306"/>
      <c r="H349" s="522">
        <f>'ведом. 2025-2027'!AE895</f>
        <v>39565</v>
      </c>
      <c r="I349" s="522"/>
      <c r="J349" s="522">
        <f>'ведом. 2025-2027'!AF895</f>
        <v>41464</v>
      </c>
      <c r="K349" s="522"/>
      <c r="L349" s="154"/>
      <c r="N349" s="154"/>
      <c r="O349" s="154"/>
    </row>
    <row r="350" spans="1:15" s="519" customFormat="1" x14ac:dyDescent="0.25">
      <c r="A350" s="465" t="s">
        <v>709</v>
      </c>
      <c r="B350" s="472" t="s">
        <v>49</v>
      </c>
      <c r="C350" s="473" t="s">
        <v>22</v>
      </c>
      <c r="D350" s="458" t="s">
        <v>708</v>
      </c>
      <c r="E350" s="460"/>
      <c r="F350" s="522">
        <f>F351</f>
        <v>26286</v>
      </c>
      <c r="G350" s="522"/>
      <c r="H350" s="522">
        <f t="shared" ref="H350:J353" si="75">H351</f>
        <v>8590</v>
      </c>
      <c r="I350" s="522"/>
      <c r="J350" s="522">
        <f t="shared" si="75"/>
        <v>16750</v>
      </c>
      <c r="K350" s="522"/>
      <c r="L350" s="521"/>
      <c r="N350" s="521"/>
      <c r="O350" s="521"/>
    </row>
    <row r="351" spans="1:15" s="519" customFormat="1" x14ac:dyDescent="0.25">
      <c r="A351" s="451" t="s">
        <v>710</v>
      </c>
      <c r="B351" s="472" t="s">
        <v>49</v>
      </c>
      <c r="C351" s="473" t="s">
        <v>22</v>
      </c>
      <c r="D351" s="458" t="s">
        <v>711</v>
      </c>
      <c r="E351" s="460"/>
      <c r="F351" s="522">
        <f>F352</f>
        <v>26286</v>
      </c>
      <c r="G351" s="522"/>
      <c r="H351" s="522">
        <f t="shared" si="75"/>
        <v>8590</v>
      </c>
      <c r="I351" s="522"/>
      <c r="J351" s="522">
        <f t="shared" si="75"/>
        <v>16750</v>
      </c>
      <c r="K351" s="522"/>
      <c r="L351" s="521"/>
      <c r="N351" s="521"/>
      <c r="O351" s="521"/>
    </row>
    <row r="352" spans="1:15" s="519" customFormat="1" x14ac:dyDescent="0.25">
      <c r="A352" s="451" t="s">
        <v>344</v>
      </c>
      <c r="B352" s="472" t="s">
        <v>49</v>
      </c>
      <c r="C352" s="473" t="s">
        <v>22</v>
      </c>
      <c r="D352" s="458" t="s">
        <v>712</v>
      </c>
      <c r="E352" s="460"/>
      <c r="F352" s="522">
        <f>F353</f>
        <v>26286</v>
      </c>
      <c r="G352" s="522"/>
      <c r="H352" s="522">
        <f t="shared" si="75"/>
        <v>8590</v>
      </c>
      <c r="I352" s="522"/>
      <c r="J352" s="522">
        <f t="shared" si="75"/>
        <v>16750</v>
      </c>
      <c r="K352" s="522"/>
      <c r="L352" s="521"/>
      <c r="N352" s="521"/>
      <c r="O352" s="521"/>
    </row>
    <row r="353" spans="1:15" s="519" customFormat="1" x14ac:dyDescent="0.25">
      <c r="A353" s="451" t="s">
        <v>120</v>
      </c>
      <c r="B353" s="472" t="s">
        <v>49</v>
      </c>
      <c r="C353" s="473" t="s">
        <v>22</v>
      </c>
      <c r="D353" s="458" t="s">
        <v>712</v>
      </c>
      <c r="E353" s="460">
        <v>200</v>
      </c>
      <c r="F353" s="522">
        <f>F354</f>
        <v>26286</v>
      </c>
      <c r="G353" s="522"/>
      <c r="H353" s="522">
        <f t="shared" si="75"/>
        <v>8590</v>
      </c>
      <c r="I353" s="522"/>
      <c r="J353" s="522">
        <f t="shared" si="75"/>
        <v>16750</v>
      </c>
      <c r="K353" s="522"/>
      <c r="L353" s="521"/>
      <c r="N353" s="521"/>
      <c r="O353" s="521"/>
    </row>
    <row r="354" spans="1:15" s="519" customFormat="1" ht="31.5" x14ac:dyDescent="0.25">
      <c r="A354" s="451" t="s">
        <v>52</v>
      </c>
      <c r="B354" s="472" t="s">
        <v>49</v>
      </c>
      <c r="C354" s="473" t="s">
        <v>22</v>
      </c>
      <c r="D354" s="458" t="s">
        <v>712</v>
      </c>
      <c r="E354" s="460">
        <v>240</v>
      </c>
      <c r="F354" s="522">
        <f>'ведом. 2025-2027'!AD900</f>
        <v>26286</v>
      </c>
      <c r="G354" s="524"/>
      <c r="H354" s="522">
        <f>'ведом. 2025-2027'!AE900</f>
        <v>8590</v>
      </c>
      <c r="I354" s="522"/>
      <c r="J354" s="522">
        <f>'ведом. 2025-2027'!AF900</f>
        <v>16750</v>
      </c>
      <c r="K354" s="522"/>
      <c r="L354" s="521"/>
      <c r="N354" s="521"/>
      <c r="O354" s="521"/>
    </row>
    <row r="355" spans="1:15" s="138" customFormat="1" x14ac:dyDescent="0.25">
      <c r="A355" s="255" t="s">
        <v>48</v>
      </c>
      <c r="B355" s="194" t="s">
        <v>49</v>
      </c>
      <c r="C355" s="185" t="s">
        <v>22</v>
      </c>
      <c r="D355" s="156" t="s">
        <v>341</v>
      </c>
      <c r="E355" s="325"/>
      <c r="F355" s="159">
        <f>F356</f>
        <v>52146.1</v>
      </c>
      <c r="G355" s="306"/>
      <c r="H355" s="522">
        <f>H356</f>
        <v>36365</v>
      </c>
      <c r="I355" s="522"/>
      <c r="J355" s="522">
        <f>J356</f>
        <v>37856</v>
      </c>
      <c r="K355" s="522"/>
      <c r="L355" s="154"/>
      <c r="N355" s="154"/>
      <c r="O355" s="154"/>
    </row>
    <row r="356" spans="1:15" s="138" customFormat="1" ht="31.5" x14ac:dyDescent="0.25">
      <c r="A356" s="255" t="s">
        <v>191</v>
      </c>
      <c r="B356" s="194" t="s">
        <v>49</v>
      </c>
      <c r="C356" s="185" t="s">
        <v>22</v>
      </c>
      <c r="D356" s="156" t="s">
        <v>342</v>
      </c>
      <c r="E356" s="326"/>
      <c r="F356" s="159">
        <f>F357</f>
        <v>52146.1</v>
      </c>
      <c r="G356" s="306"/>
      <c r="H356" s="522">
        <f>H357</f>
        <v>36365</v>
      </c>
      <c r="I356" s="522"/>
      <c r="J356" s="522">
        <f>J357</f>
        <v>37856</v>
      </c>
      <c r="K356" s="522"/>
      <c r="L356" s="154"/>
      <c r="N356" s="154"/>
      <c r="O356" s="154"/>
    </row>
    <row r="357" spans="1:15" s="138" customFormat="1" ht="31.5" x14ac:dyDescent="0.25">
      <c r="A357" s="465" t="s">
        <v>706</v>
      </c>
      <c r="B357" s="194" t="s">
        <v>49</v>
      </c>
      <c r="C357" s="185" t="s">
        <v>22</v>
      </c>
      <c r="D357" s="458" t="s">
        <v>705</v>
      </c>
      <c r="E357" s="326"/>
      <c r="F357" s="159">
        <f>F358</f>
        <v>52146.1</v>
      </c>
      <c r="G357" s="306"/>
      <c r="H357" s="522">
        <f>H358</f>
        <v>36365</v>
      </c>
      <c r="I357" s="522"/>
      <c r="J357" s="522">
        <f>J358</f>
        <v>37856</v>
      </c>
      <c r="K357" s="522"/>
      <c r="L357" s="154"/>
      <c r="N357" s="154"/>
      <c r="O357" s="154"/>
    </row>
    <row r="358" spans="1:15" s="138" customFormat="1" ht="31.5" x14ac:dyDescent="0.25">
      <c r="A358" s="375" t="s">
        <v>60</v>
      </c>
      <c r="B358" s="194" t="s">
        <v>49</v>
      </c>
      <c r="C358" s="185" t="s">
        <v>22</v>
      </c>
      <c r="D358" s="458" t="s">
        <v>705</v>
      </c>
      <c r="E358" s="326">
        <v>600</v>
      </c>
      <c r="F358" s="159">
        <f>F359</f>
        <v>52146.1</v>
      </c>
      <c r="G358" s="306"/>
      <c r="H358" s="522">
        <f>H359</f>
        <v>36365</v>
      </c>
      <c r="I358" s="522"/>
      <c r="J358" s="522">
        <f>J359</f>
        <v>37856</v>
      </c>
      <c r="K358" s="522"/>
      <c r="L358" s="154"/>
      <c r="N358" s="154"/>
      <c r="O358" s="154"/>
    </row>
    <row r="359" spans="1:15" s="138" customFormat="1" x14ac:dyDescent="0.25">
      <c r="A359" s="375" t="s">
        <v>61</v>
      </c>
      <c r="B359" s="194" t="s">
        <v>49</v>
      </c>
      <c r="C359" s="185" t="s">
        <v>22</v>
      </c>
      <c r="D359" s="458" t="s">
        <v>705</v>
      </c>
      <c r="E359" s="326">
        <v>610</v>
      </c>
      <c r="F359" s="159">
        <f>'ведом. 2025-2027'!AD252</f>
        <v>52146.1</v>
      </c>
      <c r="G359" s="306"/>
      <c r="H359" s="522">
        <f>'ведом. 2025-2027'!AE252</f>
        <v>36365</v>
      </c>
      <c r="I359" s="522"/>
      <c r="J359" s="522">
        <f>'ведом. 2025-2027'!AF252</f>
        <v>37856</v>
      </c>
      <c r="K359" s="522"/>
      <c r="L359" s="154"/>
      <c r="N359" s="154"/>
      <c r="O359" s="154"/>
    </row>
    <row r="360" spans="1:15" s="177" customFormat="1" x14ac:dyDescent="0.25">
      <c r="A360" s="259" t="s">
        <v>242</v>
      </c>
      <c r="B360" s="194" t="s">
        <v>49</v>
      </c>
      <c r="C360" s="185" t="s">
        <v>22</v>
      </c>
      <c r="D360" s="156" t="s">
        <v>243</v>
      </c>
      <c r="E360" s="326"/>
      <c r="F360" s="159">
        <f>F361</f>
        <v>7288</v>
      </c>
      <c r="G360" s="306"/>
      <c r="H360" s="522">
        <f>H361</f>
        <v>7580</v>
      </c>
      <c r="I360" s="522"/>
      <c r="J360" s="522">
        <f>J361</f>
        <v>7883</v>
      </c>
      <c r="K360" s="522"/>
      <c r="L360" s="154"/>
      <c r="N360" s="154"/>
      <c r="O360" s="154"/>
    </row>
    <row r="361" spans="1:15" s="177" customFormat="1" ht="31.5" x14ac:dyDescent="0.25">
      <c r="A361" s="259" t="s">
        <v>539</v>
      </c>
      <c r="B361" s="194" t="s">
        <v>49</v>
      </c>
      <c r="C361" s="185" t="s">
        <v>22</v>
      </c>
      <c r="D361" s="156" t="s">
        <v>244</v>
      </c>
      <c r="E361" s="328"/>
      <c r="F361" s="159">
        <f>F362</f>
        <v>7288</v>
      </c>
      <c r="G361" s="522"/>
      <c r="H361" s="522">
        <f t="shared" ref="H361:J362" si="76">H362</f>
        <v>7580</v>
      </c>
      <c r="I361" s="522"/>
      <c r="J361" s="522">
        <f t="shared" si="76"/>
        <v>7883</v>
      </c>
      <c r="K361" s="522"/>
      <c r="L361" s="154"/>
      <c r="N361" s="154"/>
      <c r="O361" s="154"/>
    </row>
    <row r="362" spans="1:15" s="177" customFormat="1" ht="31.5" x14ac:dyDescent="0.25">
      <c r="A362" s="257" t="s">
        <v>540</v>
      </c>
      <c r="B362" s="194" t="s">
        <v>49</v>
      </c>
      <c r="C362" s="185" t="s">
        <v>22</v>
      </c>
      <c r="D362" s="458" t="s">
        <v>245</v>
      </c>
      <c r="E362" s="460"/>
      <c r="F362" s="159">
        <f>F363</f>
        <v>7288</v>
      </c>
      <c r="G362" s="522"/>
      <c r="H362" s="522">
        <f t="shared" si="76"/>
        <v>7580</v>
      </c>
      <c r="I362" s="522"/>
      <c r="J362" s="522">
        <f t="shared" si="76"/>
        <v>7883</v>
      </c>
      <c r="K362" s="522"/>
      <c r="L362" s="154"/>
      <c r="N362" s="154"/>
      <c r="O362" s="154"/>
    </row>
    <row r="363" spans="1:15" s="177" customFormat="1" x14ac:dyDescent="0.25">
      <c r="A363" s="253" t="s">
        <v>440</v>
      </c>
      <c r="B363" s="194" t="s">
        <v>49</v>
      </c>
      <c r="C363" s="185" t="s">
        <v>22</v>
      </c>
      <c r="D363" s="458" t="s">
        <v>707</v>
      </c>
      <c r="E363" s="468"/>
      <c r="F363" s="159">
        <f>F364</f>
        <v>7288</v>
      </c>
      <c r="G363" s="306"/>
      <c r="H363" s="522">
        <f>H364</f>
        <v>7580</v>
      </c>
      <c r="I363" s="522"/>
      <c r="J363" s="522">
        <f>J364</f>
        <v>7883</v>
      </c>
      <c r="K363" s="522"/>
      <c r="L363" s="154"/>
      <c r="N363" s="154"/>
      <c r="O363" s="154"/>
    </row>
    <row r="364" spans="1:15" s="177" customFormat="1" x14ac:dyDescent="0.25">
      <c r="A364" s="253" t="s">
        <v>120</v>
      </c>
      <c r="B364" s="194" t="s">
        <v>49</v>
      </c>
      <c r="C364" s="185" t="s">
        <v>22</v>
      </c>
      <c r="D364" s="458" t="s">
        <v>707</v>
      </c>
      <c r="E364" s="468" t="s">
        <v>37</v>
      </c>
      <c r="F364" s="159">
        <f>F365</f>
        <v>7288</v>
      </c>
      <c r="G364" s="306"/>
      <c r="H364" s="522">
        <f>H365</f>
        <v>7580</v>
      </c>
      <c r="I364" s="522"/>
      <c r="J364" s="522">
        <f>J365</f>
        <v>7883</v>
      </c>
      <c r="K364" s="522"/>
      <c r="L364" s="154"/>
      <c r="N364" s="154"/>
      <c r="O364" s="154"/>
    </row>
    <row r="365" spans="1:15" s="177" customFormat="1" ht="31.5" x14ac:dyDescent="0.25">
      <c r="A365" s="253" t="s">
        <v>52</v>
      </c>
      <c r="B365" s="194" t="s">
        <v>49</v>
      </c>
      <c r="C365" s="185" t="s">
        <v>22</v>
      </c>
      <c r="D365" s="458" t="s">
        <v>707</v>
      </c>
      <c r="E365" s="468" t="s">
        <v>65</v>
      </c>
      <c r="F365" s="159">
        <f>'ведом. 2025-2027'!AD906</f>
        <v>7288</v>
      </c>
      <c r="G365" s="306"/>
      <c r="H365" s="522">
        <f>'ведом. 2025-2027'!AE906</f>
        <v>7580</v>
      </c>
      <c r="I365" s="522"/>
      <c r="J365" s="522">
        <f>'ведом. 2025-2027'!AF906</f>
        <v>7883</v>
      </c>
      <c r="K365" s="522"/>
      <c r="L365" s="154"/>
      <c r="N365" s="154"/>
      <c r="O365" s="154"/>
    </row>
    <row r="366" spans="1:15" s="138" customFormat="1" x14ac:dyDescent="0.25">
      <c r="A366" s="386" t="s">
        <v>32</v>
      </c>
      <c r="B366" s="191" t="s">
        <v>49</v>
      </c>
      <c r="C366" s="4">
        <v>10</v>
      </c>
      <c r="D366" s="279"/>
      <c r="E366" s="326"/>
      <c r="F366" s="159">
        <f>F367</f>
        <v>3822</v>
      </c>
      <c r="G366" s="306"/>
      <c r="H366" s="522">
        <f>H367</f>
        <v>3003</v>
      </c>
      <c r="I366" s="522"/>
      <c r="J366" s="522">
        <f>J367</f>
        <v>0</v>
      </c>
      <c r="K366" s="522"/>
      <c r="L366" s="154"/>
      <c r="N366" s="154"/>
      <c r="O366" s="154"/>
    </row>
    <row r="367" spans="1:15" s="138" customFormat="1" x14ac:dyDescent="0.25">
      <c r="A367" s="255" t="s">
        <v>233</v>
      </c>
      <c r="B367" s="11" t="s">
        <v>49</v>
      </c>
      <c r="C367" s="189">
        <v>10</v>
      </c>
      <c r="D367" s="156" t="s">
        <v>234</v>
      </c>
      <c r="E367" s="326"/>
      <c r="F367" s="159">
        <f>F368</f>
        <v>3822</v>
      </c>
      <c r="G367" s="306"/>
      <c r="H367" s="522">
        <f>H368</f>
        <v>3003</v>
      </c>
      <c r="I367" s="522"/>
      <c r="J367" s="522">
        <f>J368</f>
        <v>0</v>
      </c>
      <c r="K367" s="522"/>
      <c r="L367" s="154"/>
      <c r="N367" s="154"/>
      <c r="O367" s="154"/>
    </row>
    <row r="368" spans="1:15" s="138" customFormat="1" ht="31.5" x14ac:dyDescent="0.25">
      <c r="A368" s="255" t="s">
        <v>236</v>
      </c>
      <c r="B368" s="11" t="s">
        <v>49</v>
      </c>
      <c r="C368" s="189">
        <v>10</v>
      </c>
      <c r="D368" s="156" t="s">
        <v>237</v>
      </c>
      <c r="E368" s="335"/>
      <c r="F368" s="159">
        <f>F369+F377+F373</f>
        <v>3822</v>
      </c>
      <c r="G368" s="306"/>
      <c r="H368" s="522">
        <f>H369+H377+H373</f>
        <v>3003</v>
      </c>
      <c r="I368" s="522"/>
      <c r="J368" s="522">
        <f>J369+J377+J373</f>
        <v>0</v>
      </c>
      <c r="K368" s="522"/>
      <c r="L368" s="154"/>
      <c r="N368" s="154"/>
      <c r="O368" s="154"/>
    </row>
    <row r="369" spans="1:15" s="177" customFormat="1" x14ac:dyDescent="0.25">
      <c r="A369" s="259" t="s">
        <v>371</v>
      </c>
      <c r="B369" s="11" t="s">
        <v>49</v>
      </c>
      <c r="C369" s="189">
        <v>10</v>
      </c>
      <c r="D369" s="156" t="s">
        <v>372</v>
      </c>
      <c r="E369" s="335"/>
      <c r="F369" s="159">
        <f>F370</f>
        <v>3172</v>
      </c>
      <c r="G369" s="306"/>
      <c r="H369" s="522">
        <f>H370</f>
        <v>2593</v>
      </c>
      <c r="I369" s="522"/>
      <c r="J369" s="522">
        <f>J370</f>
        <v>0</v>
      </c>
      <c r="K369" s="522"/>
      <c r="L369" s="154"/>
      <c r="N369" s="154"/>
      <c r="O369" s="154"/>
    </row>
    <row r="370" spans="1:15" s="177" customFormat="1" x14ac:dyDescent="0.25">
      <c r="A370" s="258" t="s">
        <v>373</v>
      </c>
      <c r="B370" s="11" t="s">
        <v>49</v>
      </c>
      <c r="C370" s="189">
        <v>10</v>
      </c>
      <c r="D370" s="156" t="s">
        <v>374</v>
      </c>
      <c r="E370" s="336"/>
      <c r="F370" s="159">
        <f>F371</f>
        <v>3172</v>
      </c>
      <c r="G370" s="306"/>
      <c r="H370" s="522">
        <f>H371</f>
        <v>2593</v>
      </c>
      <c r="I370" s="522"/>
      <c r="J370" s="522">
        <f>J371</f>
        <v>0</v>
      </c>
      <c r="K370" s="522"/>
      <c r="L370" s="154"/>
      <c r="N370" s="154"/>
      <c r="O370" s="154"/>
    </row>
    <row r="371" spans="1:15" s="177" customFormat="1" x14ac:dyDescent="0.25">
      <c r="A371" s="253" t="s">
        <v>120</v>
      </c>
      <c r="B371" s="11" t="s">
        <v>49</v>
      </c>
      <c r="C371" s="189">
        <v>10</v>
      </c>
      <c r="D371" s="156" t="s">
        <v>374</v>
      </c>
      <c r="E371" s="326">
        <v>200</v>
      </c>
      <c r="F371" s="159">
        <f>F372</f>
        <v>3172</v>
      </c>
      <c r="G371" s="306"/>
      <c r="H371" s="522">
        <f>H372</f>
        <v>2593</v>
      </c>
      <c r="I371" s="522"/>
      <c r="J371" s="522">
        <f>J372</f>
        <v>0</v>
      </c>
      <c r="K371" s="522"/>
      <c r="L371" s="154"/>
      <c r="N371" s="154"/>
      <c r="O371" s="154"/>
    </row>
    <row r="372" spans="1:15" s="177" customFormat="1" ht="31.5" x14ac:dyDescent="0.25">
      <c r="A372" s="253" t="s">
        <v>52</v>
      </c>
      <c r="B372" s="11" t="s">
        <v>49</v>
      </c>
      <c r="C372" s="189">
        <v>10</v>
      </c>
      <c r="D372" s="156" t="s">
        <v>374</v>
      </c>
      <c r="E372" s="326">
        <v>240</v>
      </c>
      <c r="F372" s="159">
        <f>'ведом. 2025-2027'!AD259</f>
        <v>3172</v>
      </c>
      <c r="G372" s="306"/>
      <c r="H372" s="522">
        <f>'ведом. 2025-2027'!AE259</f>
        <v>2593</v>
      </c>
      <c r="I372" s="522"/>
      <c r="J372" s="522">
        <f>'ведом. 2025-2027'!AF259</f>
        <v>0</v>
      </c>
      <c r="K372" s="522"/>
      <c r="L372" s="154"/>
      <c r="N372" s="154"/>
      <c r="O372" s="154"/>
    </row>
    <row r="373" spans="1:15" s="177" customFormat="1" x14ac:dyDescent="0.25">
      <c r="A373" s="259" t="s">
        <v>389</v>
      </c>
      <c r="B373" s="11" t="s">
        <v>49</v>
      </c>
      <c r="C373" s="189">
        <v>10</v>
      </c>
      <c r="D373" s="156" t="s">
        <v>390</v>
      </c>
      <c r="E373" s="326"/>
      <c r="F373" s="159">
        <f>F374</f>
        <v>350</v>
      </c>
      <c r="G373" s="306"/>
      <c r="H373" s="522">
        <f>H374</f>
        <v>110</v>
      </c>
      <c r="I373" s="522"/>
      <c r="J373" s="522">
        <f>J374</f>
        <v>0</v>
      </c>
      <c r="K373" s="522"/>
      <c r="L373" s="154"/>
      <c r="N373" s="154"/>
      <c r="O373" s="154"/>
    </row>
    <row r="374" spans="1:15" s="177" customFormat="1" x14ac:dyDescent="0.25">
      <c r="A374" s="258" t="s">
        <v>391</v>
      </c>
      <c r="B374" s="11" t="s">
        <v>49</v>
      </c>
      <c r="C374" s="189">
        <v>10</v>
      </c>
      <c r="D374" s="156" t="s">
        <v>392</v>
      </c>
      <c r="E374" s="326"/>
      <c r="F374" s="159">
        <f>F375</f>
        <v>350</v>
      </c>
      <c r="G374" s="306"/>
      <c r="H374" s="522">
        <f>H375</f>
        <v>110</v>
      </c>
      <c r="I374" s="522"/>
      <c r="J374" s="522">
        <f>J375</f>
        <v>0</v>
      </c>
      <c r="K374" s="522"/>
      <c r="L374" s="154"/>
      <c r="N374" s="154"/>
      <c r="O374" s="154"/>
    </row>
    <row r="375" spans="1:15" s="177" customFormat="1" x14ac:dyDescent="0.25">
      <c r="A375" s="253" t="s">
        <v>120</v>
      </c>
      <c r="B375" s="11" t="s">
        <v>49</v>
      </c>
      <c r="C375" s="189">
        <v>10</v>
      </c>
      <c r="D375" s="156" t="s">
        <v>392</v>
      </c>
      <c r="E375" s="326">
        <v>200</v>
      </c>
      <c r="F375" s="159">
        <f>F376</f>
        <v>350</v>
      </c>
      <c r="G375" s="306"/>
      <c r="H375" s="522">
        <f>H376</f>
        <v>110</v>
      </c>
      <c r="I375" s="522"/>
      <c r="J375" s="522">
        <f>J376</f>
        <v>0</v>
      </c>
      <c r="K375" s="522"/>
      <c r="L375" s="154"/>
      <c r="N375" s="154"/>
      <c r="O375" s="154"/>
    </row>
    <row r="376" spans="1:15" s="177" customFormat="1" ht="31.5" x14ac:dyDescent="0.25">
      <c r="A376" s="253" t="s">
        <v>52</v>
      </c>
      <c r="B376" s="11" t="s">
        <v>49</v>
      </c>
      <c r="C376" s="189">
        <v>10</v>
      </c>
      <c r="D376" s="156" t="s">
        <v>392</v>
      </c>
      <c r="E376" s="326">
        <v>240</v>
      </c>
      <c r="F376" s="159">
        <f>'ведом. 2025-2027'!AD263</f>
        <v>350</v>
      </c>
      <c r="G376" s="306"/>
      <c r="H376" s="522">
        <f>'ведом. 2025-2027'!AE263</f>
        <v>110</v>
      </c>
      <c r="I376" s="522"/>
      <c r="J376" s="522">
        <f>'ведом. 2025-2027'!AF263</f>
        <v>0</v>
      </c>
      <c r="K376" s="522"/>
      <c r="L376" s="154"/>
      <c r="N376" s="154"/>
      <c r="O376" s="154"/>
    </row>
    <row r="377" spans="1:15" s="177" customFormat="1" x14ac:dyDescent="0.25">
      <c r="A377" s="259" t="s">
        <v>375</v>
      </c>
      <c r="B377" s="11" t="s">
        <v>49</v>
      </c>
      <c r="C377" s="189">
        <v>10</v>
      </c>
      <c r="D377" s="156" t="s">
        <v>376</v>
      </c>
      <c r="E377" s="326"/>
      <c r="F377" s="159">
        <f>F378</f>
        <v>300</v>
      </c>
      <c r="G377" s="306"/>
      <c r="H377" s="522">
        <f>H378</f>
        <v>300</v>
      </c>
      <c r="I377" s="522"/>
      <c r="J377" s="522">
        <f>J378</f>
        <v>0</v>
      </c>
      <c r="K377" s="522"/>
      <c r="L377" s="154"/>
      <c r="N377" s="154"/>
      <c r="O377" s="154"/>
    </row>
    <row r="378" spans="1:15" s="177" customFormat="1" x14ac:dyDescent="0.25">
      <c r="A378" s="258" t="s">
        <v>377</v>
      </c>
      <c r="B378" s="11" t="s">
        <v>49</v>
      </c>
      <c r="C378" s="189">
        <v>10</v>
      </c>
      <c r="D378" s="156" t="s">
        <v>378</v>
      </c>
      <c r="E378" s="326"/>
      <c r="F378" s="159">
        <f>F379</f>
        <v>300</v>
      </c>
      <c r="G378" s="306"/>
      <c r="H378" s="522">
        <f>H379</f>
        <v>300</v>
      </c>
      <c r="I378" s="522"/>
      <c r="J378" s="522">
        <f>J379</f>
        <v>0</v>
      </c>
      <c r="K378" s="522"/>
      <c r="L378" s="154"/>
      <c r="N378" s="154"/>
      <c r="O378" s="154"/>
    </row>
    <row r="379" spans="1:15" s="177" customFormat="1" x14ac:dyDescent="0.25">
      <c r="A379" s="253" t="s">
        <v>120</v>
      </c>
      <c r="B379" s="11" t="s">
        <v>49</v>
      </c>
      <c r="C379" s="189">
        <v>10</v>
      </c>
      <c r="D379" s="156" t="s">
        <v>378</v>
      </c>
      <c r="E379" s="326">
        <v>200</v>
      </c>
      <c r="F379" s="159">
        <f>F380</f>
        <v>300</v>
      </c>
      <c r="G379" s="306"/>
      <c r="H379" s="522">
        <f>H380</f>
        <v>300</v>
      </c>
      <c r="I379" s="522"/>
      <c r="J379" s="522">
        <f>J380</f>
        <v>0</v>
      </c>
      <c r="K379" s="522"/>
      <c r="L379" s="154"/>
      <c r="N379" s="154"/>
      <c r="O379" s="154"/>
    </row>
    <row r="380" spans="1:15" s="177" customFormat="1" ht="31.5" x14ac:dyDescent="0.25">
      <c r="A380" s="253" t="s">
        <v>52</v>
      </c>
      <c r="B380" s="11" t="s">
        <v>49</v>
      </c>
      <c r="C380" s="189">
        <v>10</v>
      </c>
      <c r="D380" s="156" t="s">
        <v>378</v>
      </c>
      <c r="E380" s="326">
        <v>240</v>
      </c>
      <c r="F380" s="159">
        <f>'ведом. 2025-2027'!AD267</f>
        <v>300</v>
      </c>
      <c r="G380" s="306"/>
      <c r="H380" s="522">
        <f>'ведом. 2025-2027'!AE267</f>
        <v>300</v>
      </c>
      <c r="I380" s="522"/>
      <c r="J380" s="522">
        <f>'ведом. 2025-2027'!AF267</f>
        <v>0</v>
      </c>
      <c r="K380" s="522"/>
      <c r="L380" s="154"/>
      <c r="N380" s="154"/>
      <c r="O380" s="154"/>
    </row>
    <row r="381" spans="1:15" s="149" customFormat="1" x14ac:dyDescent="0.25">
      <c r="A381" s="375" t="s">
        <v>51</v>
      </c>
      <c r="B381" s="191" t="s">
        <v>49</v>
      </c>
      <c r="C381" s="4">
        <v>12</v>
      </c>
      <c r="D381" s="26"/>
      <c r="E381" s="325"/>
      <c r="F381" s="159">
        <f>F382+F391</f>
        <v>1484.7</v>
      </c>
      <c r="G381" s="522">
        <f t="shared" ref="G381:K381" si="77">G382+G391</f>
        <v>377</v>
      </c>
      <c r="H381" s="522">
        <f t="shared" si="77"/>
        <v>377</v>
      </c>
      <c r="I381" s="522">
        <f t="shared" si="77"/>
        <v>377</v>
      </c>
      <c r="J381" s="522">
        <f t="shared" si="77"/>
        <v>377</v>
      </c>
      <c r="K381" s="522">
        <f t="shared" si="77"/>
        <v>377</v>
      </c>
      <c r="L381" s="154"/>
      <c r="N381" s="154"/>
      <c r="O381" s="154"/>
    </row>
    <row r="382" spans="1:15" s="149" customFormat="1" ht="31.5" x14ac:dyDescent="0.25">
      <c r="A382" s="255" t="s">
        <v>161</v>
      </c>
      <c r="B382" s="191" t="s">
        <v>49</v>
      </c>
      <c r="C382" s="4">
        <v>12</v>
      </c>
      <c r="D382" s="26" t="s">
        <v>102</v>
      </c>
      <c r="E382" s="326"/>
      <c r="F382" s="159">
        <f t="shared" ref="F382:K383" si="78">F383</f>
        <v>984.7</v>
      </c>
      <c r="G382" s="306">
        <f t="shared" si="78"/>
        <v>377</v>
      </c>
      <c r="H382" s="522">
        <f t="shared" si="78"/>
        <v>377</v>
      </c>
      <c r="I382" s="522">
        <f t="shared" si="78"/>
        <v>377</v>
      </c>
      <c r="J382" s="522">
        <f t="shared" si="78"/>
        <v>377</v>
      </c>
      <c r="K382" s="522">
        <f t="shared" si="78"/>
        <v>377</v>
      </c>
      <c r="L382" s="154"/>
      <c r="N382" s="154"/>
      <c r="O382" s="154"/>
    </row>
    <row r="383" spans="1:15" s="149" customFormat="1" x14ac:dyDescent="0.25">
      <c r="A383" s="255" t="s">
        <v>162</v>
      </c>
      <c r="B383" s="191" t="s">
        <v>49</v>
      </c>
      <c r="C383" s="4">
        <v>12</v>
      </c>
      <c r="D383" s="26" t="s">
        <v>106</v>
      </c>
      <c r="E383" s="326"/>
      <c r="F383" s="159">
        <f t="shared" si="78"/>
        <v>984.7</v>
      </c>
      <c r="G383" s="306">
        <f t="shared" si="78"/>
        <v>377</v>
      </c>
      <c r="H383" s="522">
        <f t="shared" si="78"/>
        <v>377</v>
      </c>
      <c r="I383" s="522">
        <f t="shared" si="78"/>
        <v>377</v>
      </c>
      <c r="J383" s="522">
        <f t="shared" si="78"/>
        <v>377</v>
      </c>
      <c r="K383" s="522">
        <f t="shared" si="78"/>
        <v>377</v>
      </c>
      <c r="L383" s="154"/>
      <c r="N383" s="154"/>
      <c r="O383" s="154"/>
    </row>
    <row r="384" spans="1:15" s="138" customFormat="1" x14ac:dyDescent="0.25">
      <c r="A384" s="274" t="s">
        <v>527</v>
      </c>
      <c r="B384" s="191" t="s">
        <v>49</v>
      </c>
      <c r="C384" s="4">
        <v>12</v>
      </c>
      <c r="D384" s="26" t="s">
        <v>335</v>
      </c>
      <c r="E384" s="328"/>
      <c r="F384" s="159">
        <f t="shared" ref="F384:K384" si="79">F385+F388</f>
        <v>984.7</v>
      </c>
      <c r="G384" s="306">
        <f t="shared" si="79"/>
        <v>377</v>
      </c>
      <c r="H384" s="522">
        <f t="shared" si="79"/>
        <v>377</v>
      </c>
      <c r="I384" s="522">
        <f t="shared" si="79"/>
        <v>377</v>
      </c>
      <c r="J384" s="522">
        <f t="shared" si="79"/>
        <v>377</v>
      </c>
      <c r="K384" s="522">
        <f t="shared" si="79"/>
        <v>377</v>
      </c>
      <c r="L384" s="154"/>
      <c r="N384" s="154"/>
      <c r="O384" s="154"/>
    </row>
    <row r="385" spans="1:15" s="138" customFormat="1" x14ac:dyDescent="0.25">
      <c r="A385" s="256" t="s">
        <v>246</v>
      </c>
      <c r="B385" s="191" t="s">
        <v>49</v>
      </c>
      <c r="C385" s="4">
        <v>12</v>
      </c>
      <c r="D385" s="156" t="s">
        <v>334</v>
      </c>
      <c r="E385" s="325"/>
      <c r="F385" s="159">
        <f>F386</f>
        <v>607.70000000000005</v>
      </c>
      <c r="G385" s="306"/>
      <c r="H385" s="522">
        <f>H386</f>
        <v>0</v>
      </c>
      <c r="I385" s="522"/>
      <c r="J385" s="522">
        <f>J386</f>
        <v>0</v>
      </c>
      <c r="K385" s="522"/>
      <c r="L385" s="154"/>
      <c r="N385" s="154"/>
      <c r="O385" s="154"/>
    </row>
    <row r="386" spans="1:15" s="138" customFormat="1" x14ac:dyDescent="0.25">
      <c r="A386" s="375" t="s">
        <v>120</v>
      </c>
      <c r="B386" s="191" t="s">
        <v>49</v>
      </c>
      <c r="C386" s="4">
        <v>12</v>
      </c>
      <c r="D386" s="156" t="s">
        <v>334</v>
      </c>
      <c r="E386" s="326">
        <v>200</v>
      </c>
      <c r="F386" s="159">
        <f>F387</f>
        <v>607.70000000000005</v>
      </c>
      <c r="G386" s="306"/>
      <c r="H386" s="522">
        <f>H387</f>
        <v>0</v>
      </c>
      <c r="I386" s="522"/>
      <c r="J386" s="522">
        <f>J387</f>
        <v>0</v>
      </c>
      <c r="K386" s="522"/>
      <c r="L386" s="154"/>
      <c r="N386" s="154"/>
      <c r="O386" s="154"/>
    </row>
    <row r="387" spans="1:15" s="138" customFormat="1" ht="31.5" x14ac:dyDescent="0.25">
      <c r="A387" s="375" t="s">
        <v>52</v>
      </c>
      <c r="B387" s="191" t="s">
        <v>49</v>
      </c>
      <c r="C387" s="4">
        <v>12</v>
      </c>
      <c r="D387" s="156" t="s">
        <v>334</v>
      </c>
      <c r="E387" s="326">
        <v>240</v>
      </c>
      <c r="F387" s="159">
        <f>'ведом. 2025-2027'!AD274</f>
        <v>607.70000000000005</v>
      </c>
      <c r="G387" s="306"/>
      <c r="H387" s="522">
        <f>'ведом. 2025-2027'!AE274</f>
        <v>0</v>
      </c>
      <c r="I387" s="522"/>
      <c r="J387" s="522">
        <f>'ведом. 2025-2027'!AF274</f>
        <v>0</v>
      </c>
      <c r="K387" s="522"/>
      <c r="L387" s="154"/>
      <c r="N387" s="154"/>
      <c r="O387" s="154"/>
    </row>
    <row r="388" spans="1:15" s="177" customFormat="1" ht="47.25" x14ac:dyDescent="0.25">
      <c r="A388" s="253" t="s">
        <v>359</v>
      </c>
      <c r="B388" s="191" t="s">
        <v>49</v>
      </c>
      <c r="C388" s="4">
        <v>12</v>
      </c>
      <c r="D388" s="26" t="s">
        <v>358</v>
      </c>
      <c r="E388" s="326"/>
      <c r="F388" s="159">
        <f t="shared" ref="F388:K389" si="80">F389</f>
        <v>377</v>
      </c>
      <c r="G388" s="306">
        <f t="shared" si="80"/>
        <v>377</v>
      </c>
      <c r="H388" s="522">
        <f t="shared" si="80"/>
        <v>377</v>
      </c>
      <c r="I388" s="522">
        <f>I389</f>
        <v>377</v>
      </c>
      <c r="J388" s="522">
        <f t="shared" si="80"/>
        <v>377</v>
      </c>
      <c r="K388" s="522">
        <f t="shared" si="80"/>
        <v>377</v>
      </c>
      <c r="L388" s="154"/>
      <c r="N388" s="154"/>
      <c r="O388" s="154"/>
    </row>
    <row r="389" spans="1:15" s="177" customFormat="1" x14ac:dyDescent="0.25">
      <c r="A389" s="253" t="s">
        <v>120</v>
      </c>
      <c r="B389" s="191" t="s">
        <v>49</v>
      </c>
      <c r="C389" s="4">
        <v>12</v>
      </c>
      <c r="D389" s="26" t="s">
        <v>358</v>
      </c>
      <c r="E389" s="326">
        <v>200</v>
      </c>
      <c r="F389" s="159">
        <f t="shared" si="80"/>
        <v>377</v>
      </c>
      <c r="G389" s="306">
        <f t="shared" si="80"/>
        <v>377</v>
      </c>
      <c r="H389" s="522">
        <f t="shared" si="80"/>
        <v>377</v>
      </c>
      <c r="I389" s="522">
        <f>I390</f>
        <v>377</v>
      </c>
      <c r="J389" s="522">
        <f t="shared" si="80"/>
        <v>377</v>
      </c>
      <c r="K389" s="522">
        <f t="shared" si="80"/>
        <v>377</v>
      </c>
      <c r="L389" s="154"/>
      <c r="N389" s="154"/>
      <c r="O389" s="154"/>
    </row>
    <row r="390" spans="1:15" s="177" customFormat="1" ht="31.5" x14ac:dyDescent="0.25">
      <c r="A390" s="253" t="s">
        <v>52</v>
      </c>
      <c r="B390" s="191" t="s">
        <v>49</v>
      </c>
      <c r="C390" s="4">
        <v>12</v>
      </c>
      <c r="D390" s="26" t="s">
        <v>358</v>
      </c>
      <c r="E390" s="326">
        <v>240</v>
      </c>
      <c r="F390" s="159">
        <f>'ведом. 2025-2027'!AD277</f>
        <v>377</v>
      </c>
      <c r="G390" s="306">
        <f>F390</f>
        <v>377</v>
      </c>
      <c r="H390" s="522">
        <f>'ведом. 2025-2027'!AE277</f>
        <v>377</v>
      </c>
      <c r="I390" s="522">
        <f>H390</f>
        <v>377</v>
      </c>
      <c r="J390" s="522">
        <f>'ведом. 2025-2027'!AF277</f>
        <v>377</v>
      </c>
      <c r="K390" s="522">
        <f>J390</f>
        <v>377</v>
      </c>
      <c r="L390" s="154"/>
      <c r="N390" s="154"/>
      <c r="O390" s="154"/>
    </row>
    <row r="391" spans="1:15" s="519" customFormat="1" x14ac:dyDescent="0.25">
      <c r="A391" s="716" t="s">
        <v>882</v>
      </c>
      <c r="B391" s="515" t="s">
        <v>49</v>
      </c>
      <c r="C391" s="515">
        <v>12</v>
      </c>
      <c r="D391" s="512" t="s">
        <v>883</v>
      </c>
      <c r="E391" s="516"/>
      <c r="F391" s="522">
        <f>F392</f>
        <v>500</v>
      </c>
      <c r="G391" s="522"/>
      <c r="H391" s="522">
        <f t="shared" ref="H391:J395" si="81">H392</f>
        <v>0</v>
      </c>
      <c r="I391" s="522"/>
      <c r="J391" s="522">
        <f t="shared" si="81"/>
        <v>0</v>
      </c>
      <c r="K391" s="522"/>
      <c r="L391" s="521"/>
      <c r="N391" s="521"/>
      <c r="O391" s="521"/>
    </row>
    <row r="392" spans="1:15" s="519" customFormat="1" x14ac:dyDescent="0.25">
      <c r="A392" s="514" t="s">
        <v>884</v>
      </c>
      <c r="B392" s="515" t="s">
        <v>49</v>
      </c>
      <c r="C392" s="515">
        <v>12</v>
      </c>
      <c r="D392" s="512" t="s">
        <v>885</v>
      </c>
      <c r="E392" s="516"/>
      <c r="F392" s="522">
        <f>F393</f>
        <v>500</v>
      </c>
      <c r="G392" s="522"/>
      <c r="H392" s="522">
        <f t="shared" si="81"/>
        <v>0</v>
      </c>
      <c r="I392" s="522"/>
      <c r="J392" s="522">
        <f t="shared" si="81"/>
        <v>0</v>
      </c>
      <c r="K392" s="522"/>
      <c r="L392" s="521"/>
      <c r="N392" s="521"/>
      <c r="O392" s="521"/>
    </row>
    <row r="393" spans="1:15" s="519" customFormat="1" ht="31.5" x14ac:dyDescent="0.25">
      <c r="A393" s="514" t="s">
        <v>886</v>
      </c>
      <c r="B393" s="515" t="s">
        <v>49</v>
      </c>
      <c r="C393" s="515">
        <v>12</v>
      </c>
      <c r="D393" s="512" t="s">
        <v>887</v>
      </c>
      <c r="E393" s="516"/>
      <c r="F393" s="522">
        <f>F394</f>
        <v>500</v>
      </c>
      <c r="G393" s="522"/>
      <c r="H393" s="522">
        <f t="shared" si="81"/>
        <v>0</v>
      </c>
      <c r="I393" s="522"/>
      <c r="J393" s="522">
        <f t="shared" si="81"/>
        <v>0</v>
      </c>
      <c r="K393" s="522"/>
      <c r="L393" s="521"/>
      <c r="N393" s="521"/>
      <c r="O393" s="521"/>
    </row>
    <row r="394" spans="1:15" s="519" customFormat="1" x14ac:dyDescent="0.25">
      <c r="A394" s="514" t="s">
        <v>888</v>
      </c>
      <c r="B394" s="515" t="s">
        <v>49</v>
      </c>
      <c r="C394" s="515">
        <v>12</v>
      </c>
      <c r="D394" s="512" t="s">
        <v>889</v>
      </c>
      <c r="E394" s="516"/>
      <c r="F394" s="522">
        <f>F395</f>
        <v>500</v>
      </c>
      <c r="G394" s="522"/>
      <c r="H394" s="522">
        <f t="shared" si="81"/>
        <v>0</v>
      </c>
      <c r="I394" s="522"/>
      <c r="J394" s="522">
        <f t="shared" si="81"/>
        <v>0</v>
      </c>
      <c r="K394" s="522"/>
      <c r="L394" s="521"/>
      <c r="N394" s="521"/>
      <c r="O394" s="521"/>
    </row>
    <row r="395" spans="1:15" s="519" customFormat="1" x14ac:dyDescent="0.25">
      <c r="A395" s="514" t="s">
        <v>42</v>
      </c>
      <c r="B395" s="515" t="s">
        <v>49</v>
      </c>
      <c r="C395" s="515">
        <v>12</v>
      </c>
      <c r="D395" s="512" t="s">
        <v>889</v>
      </c>
      <c r="E395" s="516">
        <v>800</v>
      </c>
      <c r="F395" s="522">
        <f>F396</f>
        <v>500</v>
      </c>
      <c r="G395" s="522"/>
      <c r="H395" s="522">
        <f t="shared" si="81"/>
        <v>0</v>
      </c>
      <c r="I395" s="522"/>
      <c r="J395" s="522">
        <f t="shared" si="81"/>
        <v>0</v>
      </c>
      <c r="K395" s="522"/>
      <c r="L395" s="521"/>
      <c r="N395" s="521"/>
      <c r="O395" s="521"/>
    </row>
    <row r="396" spans="1:15" s="519" customFormat="1" ht="31.5" x14ac:dyDescent="0.25">
      <c r="A396" s="514" t="s">
        <v>121</v>
      </c>
      <c r="B396" s="515" t="s">
        <v>49</v>
      </c>
      <c r="C396" s="515">
        <v>12</v>
      </c>
      <c r="D396" s="512" t="s">
        <v>889</v>
      </c>
      <c r="E396" s="516">
        <v>810</v>
      </c>
      <c r="F396" s="522">
        <f>'ведом. 2025-2027'!AD283</f>
        <v>500</v>
      </c>
      <c r="G396" s="522"/>
      <c r="H396" s="522">
        <f>'ведом. 2025-2027'!AF283</f>
        <v>0</v>
      </c>
      <c r="I396" s="522"/>
      <c r="J396" s="522">
        <f>'ведом. 2025-2027'!AH283</f>
        <v>0</v>
      </c>
      <c r="K396" s="522"/>
      <c r="L396" s="521"/>
      <c r="N396" s="521"/>
      <c r="O396" s="521"/>
    </row>
    <row r="397" spans="1:15" s="138" customFormat="1" x14ac:dyDescent="0.25">
      <c r="A397" s="384" t="s">
        <v>3</v>
      </c>
      <c r="B397" s="193" t="s">
        <v>5</v>
      </c>
      <c r="C397" s="188"/>
      <c r="D397" s="280"/>
      <c r="E397" s="337"/>
      <c r="F397" s="161">
        <f t="shared" ref="F397:K397" si="82">F398+F483+F573+F417</f>
        <v>1914377.0000000002</v>
      </c>
      <c r="G397" s="347">
        <f t="shared" si="82"/>
        <v>1004141.5</v>
      </c>
      <c r="H397" s="161">
        <f t="shared" si="82"/>
        <v>1121602.3</v>
      </c>
      <c r="I397" s="161">
        <f t="shared" si="82"/>
        <v>561403.79999999993</v>
      </c>
      <c r="J397" s="161">
        <f t="shared" si="82"/>
        <v>970699.89999999991</v>
      </c>
      <c r="K397" s="161">
        <f t="shared" si="82"/>
        <v>397570.8</v>
      </c>
      <c r="L397" s="154"/>
      <c r="N397" s="154"/>
      <c r="O397" s="154"/>
    </row>
    <row r="398" spans="1:15" s="138" customFormat="1" x14ac:dyDescent="0.25">
      <c r="A398" s="375" t="s">
        <v>69</v>
      </c>
      <c r="B398" s="191" t="s">
        <v>5</v>
      </c>
      <c r="C398" s="4" t="s">
        <v>29</v>
      </c>
      <c r="D398" s="26"/>
      <c r="E398" s="337"/>
      <c r="F398" s="159">
        <f>F399+F411+F405</f>
        <v>28757.7</v>
      </c>
      <c r="G398" s="522"/>
      <c r="H398" s="522">
        <f t="shared" ref="H398:J398" si="83">H399+H411+H405</f>
        <v>8300</v>
      </c>
      <c r="I398" s="522"/>
      <c r="J398" s="522">
        <f t="shared" si="83"/>
        <v>8300</v>
      </c>
      <c r="K398" s="522"/>
      <c r="L398" s="154"/>
      <c r="N398" s="154"/>
      <c r="O398" s="154"/>
    </row>
    <row r="399" spans="1:15" s="138" customFormat="1" x14ac:dyDescent="0.25">
      <c r="A399" s="255" t="s">
        <v>186</v>
      </c>
      <c r="B399" s="191" t="s">
        <v>5</v>
      </c>
      <c r="C399" s="4" t="s">
        <v>29</v>
      </c>
      <c r="D399" s="156" t="s">
        <v>112</v>
      </c>
      <c r="E399" s="337"/>
      <c r="F399" s="159">
        <f>F400</f>
        <v>23503.7</v>
      </c>
      <c r="G399" s="306"/>
      <c r="H399" s="522">
        <f>H400</f>
        <v>8300</v>
      </c>
      <c r="I399" s="522"/>
      <c r="J399" s="522">
        <f>J400</f>
        <v>8300</v>
      </c>
      <c r="K399" s="522"/>
      <c r="L399" s="154"/>
      <c r="N399" s="154"/>
      <c r="O399" s="154"/>
    </row>
    <row r="400" spans="1:15" s="138" customFormat="1" x14ac:dyDescent="0.25">
      <c r="A400" s="255" t="s">
        <v>529</v>
      </c>
      <c r="B400" s="191" t="s">
        <v>5</v>
      </c>
      <c r="C400" s="4" t="s">
        <v>29</v>
      </c>
      <c r="D400" s="156" t="s">
        <v>113</v>
      </c>
      <c r="E400" s="337"/>
      <c r="F400" s="159">
        <f>F401</f>
        <v>23503.7</v>
      </c>
      <c r="G400" s="306"/>
      <c r="H400" s="522">
        <f>H401</f>
        <v>8300</v>
      </c>
      <c r="I400" s="522"/>
      <c r="J400" s="522">
        <f>J401</f>
        <v>8300</v>
      </c>
      <c r="K400" s="522"/>
      <c r="L400" s="154"/>
      <c r="N400" s="154"/>
      <c r="O400" s="154"/>
    </row>
    <row r="401" spans="1:15" s="138" customFormat="1" ht="31.5" x14ac:dyDescent="0.25">
      <c r="A401" s="256" t="s">
        <v>182</v>
      </c>
      <c r="B401" s="191" t="s">
        <v>5</v>
      </c>
      <c r="C401" s="4" t="s">
        <v>29</v>
      </c>
      <c r="D401" s="156" t="s">
        <v>183</v>
      </c>
      <c r="E401" s="337"/>
      <c r="F401" s="159">
        <f>F402</f>
        <v>23503.7</v>
      </c>
      <c r="G401" s="306"/>
      <c r="H401" s="522">
        <f>H402</f>
        <v>8300</v>
      </c>
      <c r="I401" s="522"/>
      <c r="J401" s="522">
        <f>J402</f>
        <v>8300</v>
      </c>
      <c r="K401" s="522"/>
      <c r="L401" s="154"/>
      <c r="N401" s="154"/>
      <c r="O401" s="154"/>
    </row>
    <row r="402" spans="1:15" s="138" customFormat="1" x14ac:dyDescent="0.25">
      <c r="A402" s="258" t="s">
        <v>432</v>
      </c>
      <c r="B402" s="191" t="s">
        <v>5</v>
      </c>
      <c r="C402" s="4" t="s">
        <v>29</v>
      </c>
      <c r="D402" s="156" t="s">
        <v>385</v>
      </c>
      <c r="E402" s="325"/>
      <c r="F402" s="159">
        <f>F403</f>
        <v>23503.7</v>
      </c>
      <c r="G402" s="306"/>
      <c r="H402" s="522">
        <f>H403</f>
        <v>8300</v>
      </c>
      <c r="I402" s="522"/>
      <c r="J402" s="522">
        <f>J403</f>
        <v>8300</v>
      </c>
      <c r="K402" s="522"/>
      <c r="L402" s="154"/>
      <c r="N402" s="154"/>
      <c r="O402" s="154"/>
    </row>
    <row r="403" spans="1:15" s="138" customFormat="1" x14ac:dyDescent="0.25">
      <c r="A403" s="253" t="s">
        <v>120</v>
      </c>
      <c r="B403" s="191" t="s">
        <v>5</v>
      </c>
      <c r="C403" s="4" t="s">
        <v>29</v>
      </c>
      <c r="D403" s="156" t="s">
        <v>385</v>
      </c>
      <c r="E403" s="338">
        <v>200</v>
      </c>
      <c r="F403" s="159">
        <f>F404</f>
        <v>23503.7</v>
      </c>
      <c r="G403" s="306"/>
      <c r="H403" s="522">
        <f>H404</f>
        <v>8300</v>
      </c>
      <c r="I403" s="522"/>
      <c r="J403" s="522">
        <f>J404</f>
        <v>8300</v>
      </c>
      <c r="K403" s="522"/>
      <c r="L403" s="154"/>
      <c r="N403" s="154"/>
      <c r="O403" s="154"/>
    </row>
    <row r="404" spans="1:15" s="138" customFormat="1" ht="31.5" x14ac:dyDescent="0.25">
      <c r="A404" s="253" t="s">
        <v>52</v>
      </c>
      <c r="B404" s="191" t="s">
        <v>5</v>
      </c>
      <c r="C404" s="4" t="s">
        <v>29</v>
      </c>
      <c r="D404" s="156" t="s">
        <v>385</v>
      </c>
      <c r="E404" s="338">
        <v>240</v>
      </c>
      <c r="F404" s="159">
        <f>'ведом. 2025-2027'!AD291</f>
        <v>23503.7</v>
      </c>
      <c r="G404" s="306"/>
      <c r="H404" s="522">
        <f>'ведом. 2025-2027'!AE291</f>
        <v>8300</v>
      </c>
      <c r="I404" s="522"/>
      <c r="J404" s="522">
        <f>'ведом. 2025-2027'!AF291</f>
        <v>8300</v>
      </c>
      <c r="K404" s="522"/>
      <c r="L404" s="154"/>
      <c r="N404" s="154"/>
      <c r="O404" s="154"/>
    </row>
    <row r="405" spans="1:15" s="519" customFormat="1" x14ac:dyDescent="0.25">
      <c r="A405" s="557" t="s">
        <v>242</v>
      </c>
      <c r="B405" s="453" t="s">
        <v>5</v>
      </c>
      <c r="C405" s="453" t="s">
        <v>29</v>
      </c>
      <c r="D405" s="542" t="s">
        <v>243</v>
      </c>
      <c r="E405" s="338"/>
      <c r="F405" s="522">
        <f>F406</f>
        <v>4464</v>
      </c>
      <c r="G405" s="522"/>
      <c r="H405" s="522">
        <f t="shared" ref="H405:J405" si="84">H406</f>
        <v>0</v>
      </c>
      <c r="I405" s="522"/>
      <c r="J405" s="522">
        <f t="shared" si="84"/>
        <v>0</v>
      </c>
      <c r="K405" s="522"/>
      <c r="L405" s="521"/>
      <c r="N405" s="521"/>
      <c r="O405" s="521"/>
    </row>
    <row r="406" spans="1:15" s="519" customFormat="1" ht="31.5" x14ac:dyDescent="0.25">
      <c r="A406" s="557" t="s">
        <v>539</v>
      </c>
      <c r="B406" s="453" t="s">
        <v>5</v>
      </c>
      <c r="C406" s="453" t="s">
        <v>29</v>
      </c>
      <c r="D406" s="542" t="s">
        <v>244</v>
      </c>
      <c r="E406" s="338"/>
      <c r="F406" s="522">
        <f>F407</f>
        <v>4464</v>
      </c>
      <c r="G406" s="522"/>
      <c r="H406" s="522">
        <f t="shared" ref="H406:J406" si="85">H407</f>
        <v>0</v>
      </c>
      <c r="I406" s="522"/>
      <c r="J406" s="522">
        <f t="shared" si="85"/>
        <v>0</v>
      </c>
      <c r="K406" s="522"/>
      <c r="L406" s="521"/>
      <c r="N406" s="521"/>
      <c r="O406" s="521"/>
    </row>
    <row r="407" spans="1:15" s="138" customFormat="1" ht="31.5" x14ac:dyDescent="0.25">
      <c r="A407" s="257" t="s">
        <v>321</v>
      </c>
      <c r="B407" s="191" t="s">
        <v>5</v>
      </c>
      <c r="C407" s="4" t="s">
        <v>29</v>
      </c>
      <c r="D407" s="458" t="s">
        <v>541</v>
      </c>
      <c r="E407" s="325"/>
      <c r="F407" s="159">
        <f>F408</f>
        <v>4464</v>
      </c>
      <c r="G407" s="159"/>
      <c r="H407" s="522">
        <f>H408</f>
        <v>0</v>
      </c>
      <c r="I407" s="522"/>
      <c r="J407" s="522">
        <f>J408</f>
        <v>0</v>
      </c>
      <c r="K407" s="522"/>
      <c r="L407" s="154"/>
      <c r="N407" s="154"/>
      <c r="O407" s="154"/>
    </row>
    <row r="408" spans="1:15" s="177" customFormat="1" x14ac:dyDescent="0.25">
      <c r="A408" s="257" t="s">
        <v>606</v>
      </c>
      <c r="B408" s="1" t="s">
        <v>5</v>
      </c>
      <c r="C408" s="4" t="s">
        <v>29</v>
      </c>
      <c r="D408" s="458" t="s">
        <v>681</v>
      </c>
      <c r="E408" s="286"/>
      <c r="F408" s="159">
        <f>F409</f>
        <v>4464</v>
      </c>
      <c r="G408" s="159"/>
      <c r="H408" s="522">
        <f>H409</f>
        <v>0</v>
      </c>
      <c r="I408" s="522"/>
      <c r="J408" s="522">
        <f>J409</f>
        <v>0</v>
      </c>
      <c r="K408" s="522"/>
      <c r="L408" s="154"/>
      <c r="N408" s="154"/>
      <c r="O408" s="154"/>
    </row>
    <row r="409" spans="1:15" s="177" customFormat="1" x14ac:dyDescent="0.25">
      <c r="A409" s="253" t="s">
        <v>42</v>
      </c>
      <c r="B409" s="1" t="s">
        <v>5</v>
      </c>
      <c r="C409" s="4" t="s">
        <v>29</v>
      </c>
      <c r="D409" s="458" t="s">
        <v>681</v>
      </c>
      <c r="E409" s="286" t="s">
        <v>346</v>
      </c>
      <c r="F409" s="159">
        <f>F410</f>
        <v>4464</v>
      </c>
      <c r="G409" s="159"/>
      <c r="H409" s="522">
        <f>H410</f>
        <v>0</v>
      </c>
      <c r="I409" s="522"/>
      <c r="J409" s="522">
        <f>J410</f>
        <v>0</v>
      </c>
      <c r="K409" s="522"/>
      <c r="L409" s="154"/>
      <c r="N409" s="154"/>
      <c r="O409" s="154"/>
    </row>
    <row r="410" spans="1:15" s="177" customFormat="1" ht="31.5" x14ac:dyDescent="0.25">
      <c r="A410" s="253" t="s">
        <v>121</v>
      </c>
      <c r="B410" s="1" t="s">
        <v>5</v>
      </c>
      <c r="C410" s="4" t="s">
        <v>29</v>
      </c>
      <c r="D410" s="458" t="s">
        <v>681</v>
      </c>
      <c r="E410" s="286" t="s">
        <v>347</v>
      </c>
      <c r="F410" s="159">
        <f>'ведом. 2025-2027'!AD297</f>
        <v>4464</v>
      </c>
      <c r="G410" s="306"/>
      <c r="H410" s="522">
        <f>'ведом. 2025-2027'!AE297</f>
        <v>0</v>
      </c>
      <c r="I410" s="522"/>
      <c r="J410" s="522">
        <f>'ведом. 2025-2027'!AF297</f>
        <v>0</v>
      </c>
      <c r="K410" s="522"/>
      <c r="L410" s="154"/>
      <c r="N410" s="154"/>
      <c r="O410" s="154"/>
    </row>
    <row r="411" spans="1:15" s="177" customFormat="1" x14ac:dyDescent="0.25">
      <c r="A411" s="273" t="s">
        <v>640</v>
      </c>
      <c r="B411" s="1" t="s">
        <v>5</v>
      </c>
      <c r="C411" s="4" t="s">
        <v>29</v>
      </c>
      <c r="D411" s="291" t="s">
        <v>630</v>
      </c>
      <c r="E411" s="430"/>
      <c r="F411" s="159">
        <f>F412</f>
        <v>790</v>
      </c>
      <c r="G411" s="159"/>
      <c r="H411" s="522">
        <f t="shared" ref="H411:J415" si="86">H412</f>
        <v>0</v>
      </c>
      <c r="I411" s="522"/>
      <c r="J411" s="522">
        <f t="shared" si="86"/>
        <v>0</v>
      </c>
      <c r="K411" s="522"/>
      <c r="L411" s="154"/>
      <c r="N411" s="154"/>
      <c r="O411" s="154"/>
    </row>
    <row r="412" spans="1:15" s="177" customFormat="1" ht="31.5" x14ac:dyDescent="0.25">
      <c r="A412" s="273" t="s">
        <v>727</v>
      </c>
      <c r="B412" s="1" t="s">
        <v>5</v>
      </c>
      <c r="C412" s="4" t="s">
        <v>29</v>
      </c>
      <c r="D412" s="291" t="s">
        <v>728</v>
      </c>
      <c r="E412" s="525"/>
      <c r="F412" s="159">
        <f>F413</f>
        <v>790</v>
      </c>
      <c r="G412" s="159"/>
      <c r="H412" s="522">
        <f t="shared" si="86"/>
        <v>0</v>
      </c>
      <c r="I412" s="522"/>
      <c r="J412" s="522">
        <f t="shared" si="86"/>
        <v>0</v>
      </c>
      <c r="K412" s="522"/>
      <c r="L412" s="154"/>
      <c r="N412" s="154"/>
      <c r="O412" s="154"/>
    </row>
    <row r="413" spans="1:15" s="177" customFormat="1" x14ac:dyDescent="0.25">
      <c r="A413" s="275" t="s">
        <v>729</v>
      </c>
      <c r="B413" s="1" t="s">
        <v>5</v>
      </c>
      <c r="C413" s="4" t="s">
        <v>29</v>
      </c>
      <c r="D413" s="291" t="s">
        <v>730</v>
      </c>
      <c r="E413" s="525"/>
      <c r="F413" s="159">
        <f>F414</f>
        <v>790</v>
      </c>
      <c r="G413" s="159"/>
      <c r="H413" s="522">
        <f t="shared" si="86"/>
        <v>0</v>
      </c>
      <c r="I413" s="522"/>
      <c r="J413" s="522">
        <f t="shared" si="86"/>
        <v>0</v>
      </c>
      <c r="K413" s="522"/>
      <c r="L413" s="154"/>
      <c r="N413" s="154"/>
      <c r="O413" s="154"/>
    </row>
    <row r="414" spans="1:15" s="177" customFormat="1" ht="31.5" x14ac:dyDescent="0.25">
      <c r="A414" s="275" t="s">
        <v>731</v>
      </c>
      <c r="B414" s="1" t="s">
        <v>5</v>
      </c>
      <c r="C414" s="4" t="s">
        <v>29</v>
      </c>
      <c r="D414" s="291" t="s">
        <v>732</v>
      </c>
      <c r="E414" s="525"/>
      <c r="F414" s="159">
        <f>F415</f>
        <v>790</v>
      </c>
      <c r="G414" s="159"/>
      <c r="H414" s="522">
        <f t="shared" si="86"/>
        <v>0</v>
      </c>
      <c r="I414" s="522"/>
      <c r="J414" s="522">
        <f t="shared" si="86"/>
        <v>0</v>
      </c>
      <c r="K414" s="522"/>
      <c r="L414" s="154"/>
      <c r="N414" s="154"/>
      <c r="O414" s="154"/>
    </row>
    <row r="415" spans="1:15" s="177" customFormat="1" x14ac:dyDescent="0.25">
      <c r="A415" s="273" t="s">
        <v>120</v>
      </c>
      <c r="B415" s="1" t="s">
        <v>5</v>
      </c>
      <c r="C415" s="4" t="s">
        <v>29</v>
      </c>
      <c r="D415" s="291" t="s">
        <v>732</v>
      </c>
      <c r="E415" s="525" t="s">
        <v>37</v>
      </c>
      <c r="F415" s="159">
        <f>F416</f>
        <v>790</v>
      </c>
      <c r="G415" s="159"/>
      <c r="H415" s="522">
        <f t="shared" si="86"/>
        <v>0</v>
      </c>
      <c r="I415" s="522"/>
      <c r="J415" s="522">
        <f t="shared" si="86"/>
        <v>0</v>
      </c>
      <c r="K415" s="522"/>
      <c r="L415" s="154"/>
      <c r="N415" s="154"/>
      <c r="O415" s="154"/>
    </row>
    <row r="416" spans="1:15" s="177" customFormat="1" ht="31.5" x14ac:dyDescent="0.25">
      <c r="A416" s="273" t="s">
        <v>52</v>
      </c>
      <c r="B416" s="1" t="s">
        <v>5</v>
      </c>
      <c r="C416" s="4" t="s">
        <v>29</v>
      </c>
      <c r="D416" s="291" t="s">
        <v>732</v>
      </c>
      <c r="E416" s="525" t="s">
        <v>65</v>
      </c>
      <c r="F416" s="159">
        <f>'ведом. 2025-2027'!AD913</f>
        <v>790</v>
      </c>
      <c r="G416" s="306"/>
      <c r="H416" s="522">
        <f>'ведом. 2025-2027'!AE913</f>
        <v>0</v>
      </c>
      <c r="I416" s="522"/>
      <c r="J416" s="522">
        <f>'ведом. 2025-2027'!AF913</f>
        <v>0</v>
      </c>
      <c r="K416" s="522"/>
      <c r="L416" s="154"/>
      <c r="N416" s="154"/>
      <c r="O416" s="154"/>
    </row>
    <row r="417" spans="1:15" s="138" customFormat="1" x14ac:dyDescent="0.25">
      <c r="A417" s="375" t="s">
        <v>323</v>
      </c>
      <c r="B417" s="191" t="s">
        <v>5</v>
      </c>
      <c r="C417" s="4" t="s">
        <v>30</v>
      </c>
      <c r="D417" s="283"/>
      <c r="E417" s="328"/>
      <c r="F417" s="159">
        <f>F418+F477+F471</f>
        <v>952815.00000000012</v>
      </c>
      <c r="G417" s="522">
        <f t="shared" ref="G417:K417" si="87">G418+G477+G471</f>
        <v>692612.29999999993</v>
      </c>
      <c r="H417" s="522">
        <f t="shared" si="87"/>
        <v>669118.1</v>
      </c>
      <c r="I417" s="522">
        <f t="shared" si="87"/>
        <v>545857.89999999991</v>
      </c>
      <c r="J417" s="522">
        <f t="shared" si="87"/>
        <v>240743.3</v>
      </c>
      <c r="K417" s="522">
        <f t="shared" si="87"/>
        <v>196928</v>
      </c>
      <c r="L417" s="154"/>
      <c r="N417" s="154"/>
      <c r="O417" s="154"/>
    </row>
    <row r="418" spans="1:15" s="177" customFormat="1" ht="31.5" x14ac:dyDescent="0.25">
      <c r="A418" s="387" t="s">
        <v>586</v>
      </c>
      <c r="B418" s="195" t="s">
        <v>5</v>
      </c>
      <c r="C418" s="315" t="s">
        <v>30</v>
      </c>
      <c r="D418" s="156" t="s">
        <v>111</v>
      </c>
      <c r="E418" s="339"/>
      <c r="F418" s="159">
        <f>F424+F463+F419</f>
        <v>854221.90000000014</v>
      </c>
      <c r="G418" s="522">
        <f t="shared" ref="G418:K418" si="88">G424+G463+G419</f>
        <v>692127.2</v>
      </c>
      <c r="H418" s="522">
        <f t="shared" si="88"/>
        <v>667598.5</v>
      </c>
      <c r="I418" s="522">
        <f t="shared" si="88"/>
        <v>544610.29999999993</v>
      </c>
      <c r="J418" s="522">
        <f t="shared" si="88"/>
        <v>240743.3</v>
      </c>
      <c r="K418" s="522">
        <f t="shared" si="88"/>
        <v>196928</v>
      </c>
      <c r="L418" s="154"/>
      <c r="N418" s="154"/>
      <c r="O418" s="154"/>
    </row>
    <row r="419" spans="1:15" s="519" customFormat="1" x14ac:dyDescent="0.25">
      <c r="A419" s="451" t="s">
        <v>865</v>
      </c>
      <c r="B419" s="453" t="s">
        <v>5</v>
      </c>
      <c r="C419" s="453" t="s">
        <v>30</v>
      </c>
      <c r="D419" s="542" t="s">
        <v>589</v>
      </c>
      <c r="E419" s="473"/>
      <c r="F419" s="522">
        <f>F420</f>
        <v>2500</v>
      </c>
      <c r="G419" s="522"/>
      <c r="H419" s="522">
        <f t="shared" ref="H419:J422" si="89">H420</f>
        <v>0</v>
      </c>
      <c r="I419" s="522"/>
      <c r="J419" s="522">
        <f t="shared" si="89"/>
        <v>0</v>
      </c>
      <c r="K419" s="522"/>
      <c r="L419" s="521"/>
      <c r="N419" s="521"/>
      <c r="O419" s="521"/>
    </row>
    <row r="420" spans="1:15" s="519" customFormat="1" ht="47.25" x14ac:dyDescent="0.25">
      <c r="A420" s="451" t="s">
        <v>867</v>
      </c>
      <c r="B420" s="453" t="s">
        <v>5</v>
      </c>
      <c r="C420" s="453" t="s">
        <v>30</v>
      </c>
      <c r="D420" s="542" t="s">
        <v>866</v>
      </c>
      <c r="E420" s="473"/>
      <c r="F420" s="522">
        <f>F421</f>
        <v>2500</v>
      </c>
      <c r="G420" s="522"/>
      <c r="H420" s="522">
        <f t="shared" si="89"/>
        <v>0</v>
      </c>
      <c r="I420" s="522"/>
      <c r="J420" s="522">
        <f t="shared" si="89"/>
        <v>0</v>
      </c>
      <c r="K420" s="522"/>
      <c r="L420" s="521"/>
      <c r="N420" s="521"/>
      <c r="O420" s="521"/>
    </row>
    <row r="421" spans="1:15" s="519" customFormat="1" ht="47.25" x14ac:dyDescent="0.25">
      <c r="A421" s="451" t="s">
        <v>864</v>
      </c>
      <c r="B421" s="453" t="s">
        <v>5</v>
      </c>
      <c r="C421" s="453" t="s">
        <v>30</v>
      </c>
      <c r="D421" s="542" t="s">
        <v>863</v>
      </c>
      <c r="E421" s="473"/>
      <c r="F421" s="522">
        <f>F422</f>
        <v>2500</v>
      </c>
      <c r="G421" s="522"/>
      <c r="H421" s="522">
        <f t="shared" si="89"/>
        <v>0</v>
      </c>
      <c r="I421" s="522"/>
      <c r="J421" s="522">
        <f t="shared" si="89"/>
        <v>0</v>
      </c>
      <c r="K421" s="522"/>
      <c r="L421" s="521"/>
      <c r="N421" s="521"/>
      <c r="O421" s="521"/>
    </row>
    <row r="422" spans="1:15" s="519" customFormat="1" x14ac:dyDescent="0.25">
      <c r="A422" s="451" t="s">
        <v>120</v>
      </c>
      <c r="B422" s="453" t="s">
        <v>5</v>
      </c>
      <c r="C422" s="453" t="s">
        <v>30</v>
      </c>
      <c r="D422" s="542" t="s">
        <v>863</v>
      </c>
      <c r="E422" s="185" t="s">
        <v>37</v>
      </c>
      <c r="F422" s="522">
        <f>F423</f>
        <v>2500</v>
      </c>
      <c r="G422" s="522"/>
      <c r="H422" s="522">
        <f t="shared" si="89"/>
        <v>0</v>
      </c>
      <c r="I422" s="522"/>
      <c r="J422" s="522">
        <f t="shared" si="89"/>
        <v>0</v>
      </c>
      <c r="K422" s="522"/>
      <c r="L422" s="521"/>
      <c r="N422" s="521"/>
      <c r="O422" s="521"/>
    </row>
    <row r="423" spans="1:15" s="519" customFormat="1" ht="31.5" x14ac:dyDescent="0.25">
      <c r="A423" s="451" t="s">
        <v>52</v>
      </c>
      <c r="B423" s="453" t="s">
        <v>5</v>
      </c>
      <c r="C423" s="453" t="s">
        <v>30</v>
      </c>
      <c r="D423" s="542" t="s">
        <v>863</v>
      </c>
      <c r="E423" s="185" t="s">
        <v>65</v>
      </c>
      <c r="F423" s="522">
        <f>'ведом. 2025-2027'!AD920</f>
        <v>2500</v>
      </c>
      <c r="G423" s="522"/>
      <c r="H423" s="522">
        <f>'ведом. 2025-2027'!AE920</f>
        <v>0</v>
      </c>
      <c r="I423" s="522"/>
      <c r="J423" s="522">
        <f>'ведом. 2025-2027'!AF920</f>
        <v>0</v>
      </c>
      <c r="K423" s="522"/>
      <c r="L423" s="521"/>
      <c r="N423" s="521"/>
      <c r="O423" s="521"/>
    </row>
    <row r="424" spans="1:15" s="177" customFormat="1" x14ac:dyDescent="0.25">
      <c r="A424" s="387" t="s">
        <v>528</v>
      </c>
      <c r="B424" s="195" t="s">
        <v>5</v>
      </c>
      <c r="C424" s="315" t="s">
        <v>30</v>
      </c>
      <c r="D424" s="156" t="s">
        <v>388</v>
      </c>
      <c r="E424" s="339"/>
      <c r="F424" s="159">
        <f>F425+F449+F459</f>
        <v>829721.90000000014</v>
      </c>
      <c r="G424" s="522">
        <f t="shared" ref="G424:K424" si="90">G425+G449+G459</f>
        <v>675627.2</v>
      </c>
      <c r="H424" s="522">
        <f t="shared" si="90"/>
        <v>667598.5</v>
      </c>
      <c r="I424" s="522">
        <f t="shared" si="90"/>
        <v>544610.29999999993</v>
      </c>
      <c r="J424" s="522">
        <f t="shared" si="90"/>
        <v>240743.3</v>
      </c>
      <c r="K424" s="522">
        <f t="shared" si="90"/>
        <v>196928</v>
      </c>
      <c r="L424" s="154"/>
      <c r="N424" s="154"/>
      <c r="O424" s="154"/>
    </row>
    <row r="425" spans="1:15" s="177" customFormat="1" ht="31.5" x14ac:dyDescent="0.25">
      <c r="A425" s="387" t="s">
        <v>442</v>
      </c>
      <c r="B425" s="195" t="s">
        <v>5</v>
      </c>
      <c r="C425" s="315" t="s">
        <v>30</v>
      </c>
      <c r="D425" s="310" t="s">
        <v>441</v>
      </c>
      <c r="E425" s="339"/>
      <c r="F425" s="159">
        <f>F426+F443+F433+F446+F430</f>
        <v>335775.9</v>
      </c>
      <c r="G425" s="522">
        <f t="shared" ref="G425:K425" si="91">G426+G443+G433+G446+G430</f>
        <v>273541.5</v>
      </c>
      <c r="H425" s="522">
        <f t="shared" si="91"/>
        <v>602111.30000000005</v>
      </c>
      <c r="I425" s="522">
        <f>I426+I443+I433+I446+I430</f>
        <v>492897.79999999993</v>
      </c>
      <c r="J425" s="522">
        <f t="shared" si="91"/>
        <v>240743.3</v>
      </c>
      <c r="K425" s="522">
        <f t="shared" si="91"/>
        <v>196928</v>
      </c>
      <c r="L425" s="154"/>
      <c r="N425" s="154"/>
      <c r="O425" s="154"/>
    </row>
    <row r="426" spans="1:15" s="177" customFormat="1" x14ac:dyDescent="0.25">
      <c r="A426" s="478" t="s">
        <v>548</v>
      </c>
      <c r="B426" s="195" t="s">
        <v>5</v>
      </c>
      <c r="C426" s="315" t="s">
        <v>30</v>
      </c>
      <c r="D426" s="488" t="s">
        <v>647</v>
      </c>
      <c r="E426" s="339"/>
      <c r="F426" s="159">
        <f>F427</f>
        <v>0</v>
      </c>
      <c r="G426" s="522">
        <f t="shared" ref="G426:K426" si="92">G427</f>
        <v>0</v>
      </c>
      <c r="H426" s="522">
        <f t="shared" si="92"/>
        <v>85557</v>
      </c>
      <c r="I426" s="522">
        <f t="shared" si="92"/>
        <v>69985.600000000006</v>
      </c>
      <c r="J426" s="522">
        <f t="shared" si="92"/>
        <v>0</v>
      </c>
      <c r="K426" s="522">
        <f t="shared" si="92"/>
        <v>0</v>
      </c>
      <c r="L426" s="154"/>
      <c r="N426" s="154"/>
      <c r="O426" s="154"/>
    </row>
    <row r="427" spans="1:15" s="519" customFormat="1" ht="31.5" x14ac:dyDescent="0.25">
      <c r="A427" s="451" t="s">
        <v>901</v>
      </c>
      <c r="B427" s="453" t="s">
        <v>5</v>
      </c>
      <c r="C427" s="453" t="s">
        <v>30</v>
      </c>
      <c r="D427" s="555" t="s">
        <v>902</v>
      </c>
      <c r="E427" s="473"/>
      <c r="F427" s="522">
        <f>F428</f>
        <v>0</v>
      </c>
      <c r="G427" s="522"/>
      <c r="H427" s="522">
        <f t="shared" ref="H427:J428" si="93">H428</f>
        <v>85557</v>
      </c>
      <c r="I427" s="522">
        <f t="shared" si="93"/>
        <v>69985.600000000006</v>
      </c>
      <c r="J427" s="522">
        <f t="shared" si="93"/>
        <v>0</v>
      </c>
      <c r="K427" s="522"/>
      <c r="L427" s="521"/>
      <c r="N427" s="521"/>
      <c r="O427" s="521"/>
    </row>
    <row r="428" spans="1:15" s="519" customFormat="1" x14ac:dyDescent="0.25">
      <c r="A428" s="665" t="s">
        <v>416</v>
      </c>
      <c r="B428" s="453" t="s">
        <v>5</v>
      </c>
      <c r="C428" s="453" t="s">
        <v>30</v>
      </c>
      <c r="D428" s="555" t="s">
        <v>902</v>
      </c>
      <c r="E428" s="473" t="s">
        <v>154</v>
      </c>
      <c r="F428" s="522">
        <f>F429</f>
        <v>0</v>
      </c>
      <c r="G428" s="522"/>
      <c r="H428" s="522">
        <f t="shared" si="93"/>
        <v>85557</v>
      </c>
      <c r="I428" s="522">
        <f t="shared" si="93"/>
        <v>69985.600000000006</v>
      </c>
      <c r="J428" s="522">
        <f t="shared" si="93"/>
        <v>0</v>
      </c>
      <c r="K428" s="522"/>
      <c r="L428" s="521"/>
      <c r="N428" s="521"/>
      <c r="O428" s="521"/>
    </row>
    <row r="429" spans="1:15" s="519" customFormat="1" x14ac:dyDescent="0.25">
      <c r="A429" s="451" t="s">
        <v>9</v>
      </c>
      <c r="B429" s="453" t="s">
        <v>5</v>
      </c>
      <c r="C429" s="453" t="s">
        <v>30</v>
      </c>
      <c r="D429" s="555" t="s">
        <v>902</v>
      </c>
      <c r="E429" s="473" t="s">
        <v>155</v>
      </c>
      <c r="F429" s="522">
        <f>'ведом. 2025-2027'!AD926</f>
        <v>0</v>
      </c>
      <c r="G429" s="522"/>
      <c r="H429" s="522">
        <f>'ведом. 2025-2027'!AE926</f>
        <v>85557</v>
      </c>
      <c r="I429" s="522">
        <v>69985.600000000006</v>
      </c>
      <c r="J429" s="522">
        <f>'ведом. 2025-2027'!AF926</f>
        <v>0</v>
      </c>
      <c r="K429" s="522"/>
      <c r="L429" s="521"/>
      <c r="N429" s="521"/>
      <c r="O429" s="521"/>
    </row>
    <row r="430" spans="1:15" s="519" customFormat="1" x14ac:dyDescent="0.25">
      <c r="A430" s="478" t="s">
        <v>548</v>
      </c>
      <c r="B430" s="195" t="s">
        <v>5</v>
      </c>
      <c r="C430" s="315" t="s">
        <v>30</v>
      </c>
      <c r="D430" s="555" t="s">
        <v>844</v>
      </c>
      <c r="E430" s="339"/>
      <c r="F430" s="522">
        <f>F431</f>
        <v>29882.799999999981</v>
      </c>
      <c r="G430" s="522">
        <f t="shared" ref="G430:J430" si="94">G431</f>
        <v>23319.099999999991</v>
      </c>
      <c r="H430" s="522">
        <f t="shared" si="94"/>
        <v>0</v>
      </c>
      <c r="I430" s="522"/>
      <c r="J430" s="522">
        <f t="shared" si="94"/>
        <v>0</v>
      </c>
      <c r="K430" s="522"/>
      <c r="L430" s="521"/>
      <c r="N430" s="521"/>
      <c r="O430" s="521"/>
    </row>
    <row r="431" spans="1:15" s="177" customFormat="1" x14ac:dyDescent="0.25">
      <c r="A431" s="489" t="s">
        <v>416</v>
      </c>
      <c r="B431" s="195" t="s">
        <v>5</v>
      </c>
      <c r="C431" s="315" t="s">
        <v>30</v>
      </c>
      <c r="D431" s="555" t="s">
        <v>844</v>
      </c>
      <c r="E431" s="328" t="s">
        <v>154</v>
      </c>
      <c r="F431" s="159">
        <f>'ведом. 2025-2027'!AD929</f>
        <v>29882.799999999981</v>
      </c>
      <c r="G431" s="306">
        <f>G432</f>
        <v>23319.099999999991</v>
      </c>
      <c r="H431" s="522">
        <f>H432</f>
        <v>0</v>
      </c>
      <c r="I431" s="522"/>
      <c r="J431" s="522">
        <f>J432</f>
        <v>0</v>
      </c>
      <c r="K431" s="522"/>
      <c r="L431" s="154"/>
      <c r="N431" s="154"/>
      <c r="O431" s="154"/>
    </row>
    <row r="432" spans="1:15" s="177" customFormat="1" x14ac:dyDescent="0.25">
      <c r="A432" s="451" t="s">
        <v>9</v>
      </c>
      <c r="B432" s="195" t="s">
        <v>5</v>
      </c>
      <c r="C432" s="315" t="s">
        <v>30</v>
      </c>
      <c r="D432" s="555" t="s">
        <v>844</v>
      </c>
      <c r="E432" s="328" t="s">
        <v>155</v>
      </c>
      <c r="F432" s="159">
        <f>'ведом. 2025-2027'!AD929</f>
        <v>29882.799999999981</v>
      </c>
      <c r="G432" s="306">
        <f>85487.4+7817.3-69985.6</f>
        <v>23319.099999999991</v>
      </c>
      <c r="H432" s="522">
        <f>'ведом. 2025-2027'!AE929</f>
        <v>0</v>
      </c>
      <c r="I432" s="522"/>
      <c r="J432" s="522">
        <f>'ведом. 2025-2027'!AF929</f>
        <v>0</v>
      </c>
      <c r="K432" s="522"/>
      <c r="L432" s="154"/>
      <c r="N432" s="154"/>
      <c r="O432" s="154"/>
    </row>
    <row r="433" spans="1:15" s="519" customFormat="1" ht="31.5" x14ac:dyDescent="0.25">
      <c r="A433" s="451" t="s">
        <v>653</v>
      </c>
      <c r="B433" s="453" t="s">
        <v>5</v>
      </c>
      <c r="C433" s="454" t="s">
        <v>30</v>
      </c>
      <c r="D433" s="488" t="s">
        <v>652</v>
      </c>
      <c r="E433" s="468"/>
      <c r="F433" s="522">
        <f>F434+F437+F440</f>
        <v>621.20000000000005</v>
      </c>
      <c r="G433" s="522">
        <f t="shared" ref="G433:K433" si="95">G434+G437+G440</f>
        <v>510</v>
      </c>
      <c r="H433" s="522">
        <f t="shared" si="95"/>
        <v>295713.39999999997</v>
      </c>
      <c r="I433" s="522">
        <f t="shared" si="95"/>
        <v>242264.39999999997</v>
      </c>
      <c r="J433" s="522">
        <f t="shared" si="95"/>
        <v>240743.3</v>
      </c>
      <c r="K433" s="522">
        <f t="shared" si="95"/>
        <v>196928</v>
      </c>
      <c r="L433" s="521"/>
      <c r="M433" s="521"/>
      <c r="N433" s="521"/>
      <c r="O433" s="521"/>
    </row>
    <row r="434" spans="1:15" s="519" customFormat="1" ht="47.25" x14ac:dyDescent="0.25">
      <c r="A434" s="478" t="s">
        <v>717</v>
      </c>
      <c r="B434" s="453" t="s">
        <v>5</v>
      </c>
      <c r="C434" s="454" t="s">
        <v>30</v>
      </c>
      <c r="D434" s="488" t="s">
        <v>715</v>
      </c>
      <c r="E434" s="468"/>
      <c r="F434" s="522">
        <f>F435</f>
        <v>0</v>
      </c>
      <c r="G434" s="522"/>
      <c r="H434" s="522">
        <f t="shared" ref="H434:K434" si="96">H435</f>
        <v>51481.299999999996</v>
      </c>
      <c r="I434" s="522">
        <f t="shared" si="96"/>
        <v>42111.7</v>
      </c>
      <c r="J434" s="522">
        <f t="shared" si="96"/>
        <v>120123</v>
      </c>
      <c r="K434" s="522">
        <f t="shared" si="96"/>
        <v>98260.6</v>
      </c>
      <c r="L434" s="521"/>
      <c r="N434" s="521"/>
      <c r="O434" s="521"/>
    </row>
    <row r="435" spans="1:15" s="519" customFormat="1" x14ac:dyDescent="0.25">
      <c r="A435" s="489" t="s">
        <v>416</v>
      </c>
      <c r="B435" s="453" t="s">
        <v>5</v>
      </c>
      <c r="C435" s="454" t="s">
        <v>30</v>
      </c>
      <c r="D435" s="488" t="s">
        <v>715</v>
      </c>
      <c r="E435" s="468" t="s">
        <v>154</v>
      </c>
      <c r="F435" s="522">
        <f>F436</f>
        <v>0</v>
      </c>
      <c r="G435" s="522"/>
      <c r="H435" s="522">
        <f t="shared" ref="H435:K435" si="97">H436</f>
        <v>51481.299999999996</v>
      </c>
      <c r="I435" s="522">
        <f t="shared" si="97"/>
        <v>42111.7</v>
      </c>
      <c r="J435" s="522">
        <f t="shared" si="97"/>
        <v>120123</v>
      </c>
      <c r="K435" s="522">
        <f t="shared" si="97"/>
        <v>98260.6</v>
      </c>
      <c r="L435" s="521"/>
      <c r="N435" s="521"/>
      <c r="O435" s="521"/>
    </row>
    <row r="436" spans="1:15" s="519" customFormat="1" x14ac:dyDescent="0.25">
      <c r="A436" s="451" t="s">
        <v>9</v>
      </c>
      <c r="B436" s="453" t="s">
        <v>5</v>
      </c>
      <c r="C436" s="454" t="s">
        <v>30</v>
      </c>
      <c r="D436" s="488" t="s">
        <v>715</v>
      </c>
      <c r="E436" s="468" t="s">
        <v>155</v>
      </c>
      <c r="F436" s="522">
        <f>'ведом. 2025-2027'!AD933</f>
        <v>0</v>
      </c>
      <c r="G436" s="522"/>
      <c r="H436" s="522">
        <f>'ведом. 2025-2027'!AE933</f>
        <v>51481.299999999996</v>
      </c>
      <c r="I436" s="522">
        <v>42111.7</v>
      </c>
      <c r="J436" s="522">
        <f>'ведом. 2025-2027'!AF933</f>
        <v>120123</v>
      </c>
      <c r="K436" s="522">
        <v>98260.6</v>
      </c>
      <c r="L436" s="521"/>
      <c r="M436" s="521"/>
      <c r="N436" s="521"/>
      <c r="O436" s="521"/>
    </row>
    <row r="437" spans="1:15" s="519" customFormat="1" ht="47.25" x14ac:dyDescent="0.25">
      <c r="A437" s="451" t="s">
        <v>718</v>
      </c>
      <c r="B437" s="453" t="s">
        <v>5</v>
      </c>
      <c r="C437" s="454" t="s">
        <v>30</v>
      </c>
      <c r="D437" s="488" t="s">
        <v>716</v>
      </c>
      <c r="E437" s="468"/>
      <c r="F437" s="522">
        <f>F438</f>
        <v>0</v>
      </c>
      <c r="G437" s="522"/>
      <c r="H437" s="522">
        <f t="shared" ref="H437:K437" si="98">H438</f>
        <v>120620.29999999999</v>
      </c>
      <c r="I437" s="522">
        <f t="shared" si="98"/>
        <v>98667.4</v>
      </c>
      <c r="J437" s="522">
        <f t="shared" si="98"/>
        <v>120620.29999999999</v>
      </c>
      <c r="K437" s="522">
        <f t="shared" si="98"/>
        <v>98667.4</v>
      </c>
      <c r="L437" s="521"/>
      <c r="N437" s="521"/>
      <c r="O437" s="521"/>
    </row>
    <row r="438" spans="1:15" s="519" customFormat="1" x14ac:dyDescent="0.25">
      <c r="A438" s="489" t="s">
        <v>416</v>
      </c>
      <c r="B438" s="453" t="s">
        <v>5</v>
      </c>
      <c r="C438" s="454" t="s">
        <v>30</v>
      </c>
      <c r="D438" s="488" t="s">
        <v>716</v>
      </c>
      <c r="E438" s="468" t="s">
        <v>154</v>
      </c>
      <c r="F438" s="522">
        <f>F439</f>
        <v>0</v>
      </c>
      <c r="G438" s="522"/>
      <c r="H438" s="522">
        <f t="shared" ref="H438:K438" si="99">H439</f>
        <v>120620.29999999999</v>
      </c>
      <c r="I438" s="522">
        <f t="shared" si="99"/>
        <v>98667.4</v>
      </c>
      <c r="J438" s="522">
        <f t="shared" si="99"/>
        <v>120620.29999999999</v>
      </c>
      <c r="K438" s="522">
        <f t="shared" si="99"/>
        <v>98667.4</v>
      </c>
      <c r="L438" s="521"/>
      <c r="N438" s="521"/>
      <c r="O438" s="521"/>
    </row>
    <row r="439" spans="1:15" s="519" customFormat="1" x14ac:dyDescent="0.25">
      <c r="A439" s="451" t="s">
        <v>9</v>
      </c>
      <c r="B439" s="453" t="s">
        <v>5</v>
      </c>
      <c r="C439" s="454" t="s">
        <v>30</v>
      </c>
      <c r="D439" s="488" t="s">
        <v>716</v>
      </c>
      <c r="E439" s="468" t="s">
        <v>155</v>
      </c>
      <c r="F439" s="522">
        <f>'ведом. 2025-2027'!AD936</f>
        <v>0</v>
      </c>
      <c r="G439" s="524"/>
      <c r="H439" s="522">
        <f>'ведом. 2025-2027'!AE936</f>
        <v>120620.29999999999</v>
      </c>
      <c r="I439" s="522">
        <v>98667.4</v>
      </c>
      <c r="J439" s="522">
        <f>'ведом. 2025-2027'!AF936</f>
        <v>120620.29999999999</v>
      </c>
      <c r="K439" s="522">
        <v>98667.4</v>
      </c>
      <c r="L439" s="521"/>
      <c r="M439" s="521"/>
      <c r="N439" s="521"/>
      <c r="O439" s="521"/>
    </row>
    <row r="440" spans="1:15" s="519" customFormat="1" ht="47.25" x14ac:dyDescent="0.25">
      <c r="A440" s="451" t="s">
        <v>835</v>
      </c>
      <c r="B440" s="453" t="s">
        <v>5</v>
      </c>
      <c r="C440" s="453" t="s">
        <v>30</v>
      </c>
      <c r="D440" s="555" t="s">
        <v>836</v>
      </c>
      <c r="E440" s="473"/>
      <c r="F440" s="522">
        <f>F441</f>
        <v>621.20000000000005</v>
      </c>
      <c r="G440" s="522">
        <f t="shared" ref="G440:J441" si="100">G441</f>
        <v>510</v>
      </c>
      <c r="H440" s="522">
        <f t="shared" si="100"/>
        <v>123611.8</v>
      </c>
      <c r="I440" s="522">
        <f t="shared" si="100"/>
        <v>101485.3</v>
      </c>
      <c r="J440" s="522">
        <f t="shared" si="100"/>
        <v>0</v>
      </c>
      <c r="K440" s="522"/>
      <c r="L440" s="521"/>
      <c r="M440" s="521"/>
      <c r="N440" s="521"/>
      <c r="O440" s="521"/>
    </row>
    <row r="441" spans="1:15" s="519" customFormat="1" x14ac:dyDescent="0.25">
      <c r="A441" s="665" t="s">
        <v>416</v>
      </c>
      <c r="B441" s="453" t="s">
        <v>5</v>
      </c>
      <c r="C441" s="453" t="s">
        <v>30</v>
      </c>
      <c r="D441" s="555" t="s">
        <v>836</v>
      </c>
      <c r="E441" s="473" t="s">
        <v>154</v>
      </c>
      <c r="F441" s="522">
        <f>F442</f>
        <v>621.20000000000005</v>
      </c>
      <c r="G441" s="522">
        <f t="shared" si="100"/>
        <v>510</v>
      </c>
      <c r="H441" s="522">
        <f t="shared" si="100"/>
        <v>123611.8</v>
      </c>
      <c r="I441" s="522">
        <f t="shared" si="100"/>
        <v>101485.3</v>
      </c>
      <c r="J441" s="705">
        <f t="shared" si="100"/>
        <v>0</v>
      </c>
      <c r="K441" s="634"/>
      <c r="L441" s="506"/>
      <c r="M441" s="521"/>
      <c r="N441" s="521"/>
      <c r="O441" s="521"/>
    </row>
    <row r="442" spans="1:15" s="519" customFormat="1" x14ac:dyDescent="0.25">
      <c r="A442" s="451" t="s">
        <v>9</v>
      </c>
      <c r="B442" s="453" t="s">
        <v>5</v>
      </c>
      <c r="C442" s="453" t="s">
        <v>30</v>
      </c>
      <c r="D442" s="555" t="s">
        <v>836</v>
      </c>
      <c r="E442" s="473" t="s">
        <v>155</v>
      </c>
      <c r="F442" s="522">
        <f>'ведом. 2025-2027'!AD939</f>
        <v>621.20000000000005</v>
      </c>
      <c r="G442" s="524">
        <v>510</v>
      </c>
      <c r="H442" s="522">
        <f>'ведом. 2025-2027'!AE939</f>
        <v>123611.8</v>
      </c>
      <c r="I442" s="522">
        <v>101485.3</v>
      </c>
      <c r="J442" s="522">
        <v>0</v>
      </c>
      <c r="K442" s="522"/>
      <c r="L442" s="521"/>
      <c r="M442" s="521"/>
      <c r="N442" s="521"/>
      <c r="O442" s="521"/>
    </row>
    <row r="443" spans="1:15" s="519" customFormat="1" x14ac:dyDescent="0.25">
      <c r="A443" s="253" t="s">
        <v>638</v>
      </c>
      <c r="B443" s="436" t="s">
        <v>5</v>
      </c>
      <c r="C443" s="437" t="s">
        <v>30</v>
      </c>
      <c r="D443" s="488" t="s">
        <v>645</v>
      </c>
      <c r="E443" s="430"/>
      <c r="F443" s="440">
        <f>F444</f>
        <v>112639.70000000004</v>
      </c>
      <c r="G443" s="440">
        <f t="shared" ref="G443:J444" si="101">G444</f>
        <v>92139.299999999988</v>
      </c>
      <c r="H443" s="522">
        <f t="shared" si="101"/>
        <v>220840.9</v>
      </c>
      <c r="I443" s="522">
        <f t="shared" si="101"/>
        <v>180647.8</v>
      </c>
      <c r="J443" s="522">
        <f t="shared" si="101"/>
        <v>0</v>
      </c>
      <c r="K443" s="522"/>
      <c r="L443" s="521"/>
      <c r="N443" s="521"/>
      <c r="O443" s="521"/>
    </row>
    <row r="444" spans="1:15" s="519" customFormat="1" x14ac:dyDescent="0.25">
      <c r="A444" s="253" t="s">
        <v>120</v>
      </c>
      <c r="B444" s="436" t="s">
        <v>5</v>
      </c>
      <c r="C444" s="437" t="s">
        <v>30</v>
      </c>
      <c r="D444" s="488" t="s">
        <v>645</v>
      </c>
      <c r="E444" s="430" t="s">
        <v>37</v>
      </c>
      <c r="F444" s="440">
        <f>F445</f>
        <v>112639.70000000004</v>
      </c>
      <c r="G444" s="440">
        <f t="shared" si="101"/>
        <v>92139.299999999988</v>
      </c>
      <c r="H444" s="522">
        <f t="shared" si="101"/>
        <v>220840.9</v>
      </c>
      <c r="I444" s="522">
        <f t="shared" si="101"/>
        <v>180647.8</v>
      </c>
      <c r="J444" s="522">
        <f t="shared" si="101"/>
        <v>0</v>
      </c>
      <c r="K444" s="522"/>
      <c r="L444" s="521"/>
      <c r="N444" s="521"/>
      <c r="O444" s="521"/>
    </row>
    <row r="445" spans="1:15" s="519" customFormat="1" ht="31.5" x14ac:dyDescent="0.25">
      <c r="A445" s="253" t="s">
        <v>52</v>
      </c>
      <c r="B445" s="436" t="s">
        <v>5</v>
      </c>
      <c r="C445" s="437" t="s">
        <v>30</v>
      </c>
      <c r="D445" s="488" t="s">
        <v>645</v>
      </c>
      <c r="E445" s="430" t="s">
        <v>65</v>
      </c>
      <c r="F445" s="440">
        <f>'ведом. 2025-2027'!AD942</f>
        <v>112639.70000000004</v>
      </c>
      <c r="G445" s="306">
        <f>249712.4-157573.1</f>
        <v>92139.299999999988</v>
      </c>
      <c r="H445" s="522">
        <f>'ведом. 2025-2027'!AE942</f>
        <v>220840.9</v>
      </c>
      <c r="I445" s="522">
        <v>180647.8</v>
      </c>
      <c r="J445" s="522">
        <f>'ведом. 2025-2027'!AF942</f>
        <v>0</v>
      </c>
      <c r="K445" s="522"/>
      <c r="L445" s="521"/>
      <c r="M445" s="521"/>
      <c r="N445" s="521"/>
      <c r="O445" s="521"/>
    </row>
    <row r="446" spans="1:15" s="519" customFormat="1" ht="47.25" x14ac:dyDescent="0.25">
      <c r="A446" s="451" t="s">
        <v>846</v>
      </c>
      <c r="B446" s="453" t="s">
        <v>5</v>
      </c>
      <c r="C446" s="453" t="s">
        <v>30</v>
      </c>
      <c r="D446" s="555" t="s">
        <v>845</v>
      </c>
      <c r="E446" s="473"/>
      <c r="F446" s="522">
        <f>F447</f>
        <v>192632.2</v>
      </c>
      <c r="G446" s="522">
        <f t="shared" ref="G446:J447" si="102">G447</f>
        <v>157573.1</v>
      </c>
      <c r="H446" s="522">
        <f t="shared" si="102"/>
        <v>0</v>
      </c>
      <c r="I446" s="522"/>
      <c r="J446" s="522">
        <f t="shared" si="102"/>
        <v>0</v>
      </c>
      <c r="K446" s="522"/>
      <c r="L446" s="521"/>
      <c r="M446" s="521"/>
      <c r="N446" s="521"/>
      <c r="O446" s="521"/>
    </row>
    <row r="447" spans="1:15" s="519" customFormat="1" x14ac:dyDescent="0.25">
      <c r="A447" s="451" t="s">
        <v>120</v>
      </c>
      <c r="B447" s="453" t="s">
        <v>5</v>
      </c>
      <c r="C447" s="453" t="s">
        <v>30</v>
      </c>
      <c r="D447" s="555" t="s">
        <v>845</v>
      </c>
      <c r="E447" s="473" t="s">
        <v>37</v>
      </c>
      <c r="F447" s="522">
        <f>F448</f>
        <v>192632.2</v>
      </c>
      <c r="G447" s="522">
        <f t="shared" si="102"/>
        <v>157573.1</v>
      </c>
      <c r="H447" s="522">
        <f t="shared" si="102"/>
        <v>0</v>
      </c>
      <c r="I447" s="522"/>
      <c r="J447" s="522">
        <f t="shared" si="102"/>
        <v>0</v>
      </c>
      <c r="K447" s="522"/>
      <c r="L447" s="521"/>
      <c r="M447" s="521"/>
      <c r="N447" s="521"/>
      <c r="O447" s="521"/>
    </row>
    <row r="448" spans="1:15" s="519" customFormat="1" ht="31.5" x14ac:dyDescent="0.25">
      <c r="A448" s="451" t="s">
        <v>52</v>
      </c>
      <c r="B448" s="453" t="s">
        <v>5</v>
      </c>
      <c r="C448" s="453" t="s">
        <v>30</v>
      </c>
      <c r="D448" s="555" t="s">
        <v>845</v>
      </c>
      <c r="E448" s="473" t="s">
        <v>65</v>
      </c>
      <c r="F448" s="522">
        <f>'ведом. 2025-2027'!AD945</f>
        <v>192632.2</v>
      </c>
      <c r="G448" s="524">
        <v>157573.1</v>
      </c>
      <c r="H448" s="522">
        <f>'ведом. 2025-2027'!AE945</f>
        <v>0</v>
      </c>
      <c r="I448" s="522"/>
      <c r="J448" s="522">
        <f>'ведом. 2025-2027'!AF945</f>
        <v>0</v>
      </c>
      <c r="K448" s="522"/>
      <c r="L448" s="521"/>
      <c r="M448" s="521"/>
      <c r="N448" s="521"/>
      <c r="O448" s="521"/>
    </row>
    <row r="449" spans="1:24" s="177" customFormat="1" ht="47.25" x14ac:dyDescent="0.25">
      <c r="A449" s="523" t="s">
        <v>724</v>
      </c>
      <c r="B449" s="1" t="s">
        <v>5</v>
      </c>
      <c r="C449" s="4" t="s">
        <v>30</v>
      </c>
      <c r="D449" s="291" t="s">
        <v>625</v>
      </c>
      <c r="E449" s="430"/>
      <c r="F449" s="159">
        <f>F453+F450+F456</f>
        <v>493946.00000000006</v>
      </c>
      <c r="G449" s="522">
        <f t="shared" ref="G449:J449" si="103">G453+G450+G456</f>
        <v>402085.7</v>
      </c>
      <c r="H449" s="522">
        <f t="shared" si="103"/>
        <v>62987.199999999997</v>
      </c>
      <c r="I449" s="522">
        <f t="shared" si="103"/>
        <v>51712.5</v>
      </c>
      <c r="J449" s="522">
        <f t="shared" si="103"/>
        <v>0</v>
      </c>
      <c r="K449" s="522"/>
      <c r="L449" s="154"/>
      <c r="N449" s="154"/>
      <c r="O449" s="154"/>
    </row>
    <row r="450" spans="1:24" s="519" customFormat="1" ht="31.5" x14ac:dyDescent="0.25">
      <c r="A450" s="479" t="s">
        <v>781</v>
      </c>
      <c r="B450" s="453" t="s">
        <v>5</v>
      </c>
      <c r="C450" s="453" t="s">
        <v>30</v>
      </c>
      <c r="D450" s="542" t="s">
        <v>780</v>
      </c>
      <c r="E450" s="473"/>
      <c r="F450" s="522">
        <f>F451</f>
        <v>2400</v>
      </c>
      <c r="G450" s="522"/>
      <c r="H450" s="522">
        <f t="shared" ref="H450:J451" si="104">H451</f>
        <v>0</v>
      </c>
      <c r="I450" s="522"/>
      <c r="J450" s="522">
        <f t="shared" si="104"/>
        <v>0</v>
      </c>
      <c r="K450" s="522"/>
      <c r="L450" s="521"/>
      <c r="N450" s="521"/>
      <c r="O450" s="521"/>
    </row>
    <row r="451" spans="1:24" s="519" customFormat="1" x14ac:dyDescent="0.25">
      <c r="A451" s="479" t="s">
        <v>120</v>
      </c>
      <c r="B451" s="453" t="s">
        <v>5</v>
      </c>
      <c r="C451" s="453" t="s">
        <v>30</v>
      </c>
      <c r="D451" s="542" t="s">
        <v>780</v>
      </c>
      <c r="E451" s="473" t="s">
        <v>37</v>
      </c>
      <c r="F451" s="522">
        <f>F452</f>
        <v>2400</v>
      </c>
      <c r="G451" s="522"/>
      <c r="H451" s="522">
        <f t="shared" si="104"/>
        <v>0</v>
      </c>
      <c r="I451" s="522"/>
      <c r="J451" s="522">
        <f t="shared" si="104"/>
        <v>0</v>
      </c>
      <c r="K451" s="522"/>
      <c r="L451" s="521"/>
      <c r="N451" s="521"/>
      <c r="O451" s="521"/>
    </row>
    <row r="452" spans="1:24" s="519" customFormat="1" ht="31.5" x14ac:dyDescent="0.25">
      <c r="A452" s="479" t="s">
        <v>52</v>
      </c>
      <c r="B452" s="453" t="s">
        <v>5</v>
      </c>
      <c r="C452" s="453" t="s">
        <v>30</v>
      </c>
      <c r="D452" s="542" t="s">
        <v>780</v>
      </c>
      <c r="E452" s="473" t="s">
        <v>65</v>
      </c>
      <c r="F452" s="522">
        <f>'ведом. 2025-2027'!AD949</f>
        <v>2400</v>
      </c>
      <c r="G452" s="522"/>
      <c r="H452" s="522">
        <f>'ведом. 2025-2027'!AF949</f>
        <v>0</v>
      </c>
      <c r="I452" s="522"/>
      <c r="J452" s="522">
        <f>'ведом. 2025-2027'!AH949</f>
        <v>0</v>
      </c>
      <c r="K452" s="522"/>
      <c r="L452" s="521"/>
      <c r="N452" s="521"/>
      <c r="O452" s="521"/>
    </row>
    <row r="453" spans="1:24" s="438" customFormat="1" ht="31.5" x14ac:dyDescent="0.25">
      <c r="A453" s="253" t="s">
        <v>639</v>
      </c>
      <c r="B453" s="436" t="s">
        <v>5</v>
      </c>
      <c r="C453" s="437" t="s">
        <v>30</v>
      </c>
      <c r="D453" s="488" t="s">
        <v>646</v>
      </c>
      <c r="E453" s="430"/>
      <c r="F453" s="440">
        <f t="shared" ref="F453:J454" si="105">F454</f>
        <v>21150.200000000055</v>
      </c>
      <c r="G453" s="440">
        <f t="shared" si="105"/>
        <v>17301.900000000045</v>
      </c>
      <c r="H453" s="522">
        <f t="shared" si="105"/>
        <v>62987.199999999997</v>
      </c>
      <c r="I453" s="522">
        <f>I454</f>
        <v>51712.5</v>
      </c>
      <c r="J453" s="522">
        <f t="shared" si="105"/>
        <v>0</v>
      </c>
      <c r="K453" s="522"/>
      <c r="L453" s="154"/>
      <c r="N453" s="154"/>
      <c r="O453" s="154"/>
    </row>
    <row r="454" spans="1:24" s="438" customFormat="1" x14ac:dyDescent="0.25">
      <c r="A454" s="253" t="s">
        <v>120</v>
      </c>
      <c r="B454" s="436" t="s">
        <v>5</v>
      </c>
      <c r="C454" s="437" t="s">
        <v>30</v>
      </c>
      <c r="D454" s="488" t="s">
        <v>646</v>
      </c>
      <c r="E454" s="430" t="s">
        <v>37</v>
      </c>
      <c r="F454" s="440">
        <f t="shared" si="105"/>
        <v>21150.200000000055</v>
      </c>
      <c r="G454" s="440">
        <f t="shared" si="105"/>
        <v>17301.900000000045</v>
      </c>
      <c r="H454" s="522">
        <f t="shared" si="105"/>
        <v>62987.199999999997</v>
      </c>
      <c r="I454" s="522">
        <f>I455</f>
        <v>51712.5</v>
      </c>
      <c r="J454" s="522">
        <f t="shared" si="105"/>
        <v>0</v>
      </c>
      <c r="K454" s="522"/>
      <c r="L454" s="154"/>
      <c r="N454" s="154"/>
      <c r="O454" s="154"/>
    </row>
    <row r="455" spans="1:24" s="438" customFormat="1" ht="31.5" x14ac:dyDescent="0.25">
      <c r="A455" s="253" t="s">
        <v>52</v>
      </c>
      <c r="B455" s="436" t="s">
        <v>5</v>
      </c>
      <c r="C455" s="437" t="s">
        <v>30</v>
      </c>
      <c r="D455" s="488" t="s">
        <v>646</v>
      </c>
      <c r="E455" s="430" t="s">
        <v>65</v>
      </c>
      <c r="F455" s="440">
        <f>'ведом. 2025-2027'!AD952</f>
        <v>21150.200000000055</v>
      </c>
      <c r="G455" s="306">
        <f>396736.7+259.9-384783.8+5089.1</f>
        <v>17301.900000000045</v>
      </c>
      <c r="H455" s="522">
        <f>'ведом. 2025-2027'!AE952</f>
        <v>62987.199999999997</v>
      </c>
      <c r="I455" s="522">
        <v>51712.5</v>
      </c>
      <c r="J455" s="522">
        <f>'ведом. 2025-2027'!AF952</f>
        <v>0</v>
      </c>
      <c r="K455" s="522"/>
      <c r="L455" s="154"/>
      <c r="N455" s="154"/>
      <c r="O455" s="154"/>
    </row>
    <row r="456" spans="1:24" s="519" customFormat="1" ht="31.5" x14ac:dyDescent="0.25">
      <c r="A456" s="451" t="s">
        <v>849</v>
      </c>
      <c r="B456" s="453" t="s">
        <v>5</v>
      </c>
      <c r="C456" s="453" t="s">
        <v>30</v>
      </c>
      <c r="D456" s="555" t="s">
        <v>850</v>
      </c>
      <c r="E456" s="473"/>
      <c r="F456" s="522">
        <f>F457</f>
        <v>470395.8</v>
      </c>
      <c r="G456" s="522">
        <f t="shared" ref="G456:J457" si="106">G457</f>
        <v>384783.8</v>
      </c>
      <c r="H456" s="522">
        <f t="shared" si="106"/>
        <v>0</v>
      </c>
      <c r="I456" s="522"/>
      <c r="J456" s="522">
        <f t="shared" si="106"/>
        <v>0</v>
      </c>
      <c r="K456" s="522"/>
      <c r="L456" s="521"/>
      <c r="N456" s="521"/>
      <c r="O456" s="521"/>
    </row>
    <row r="457" spans="1:24" s="519" customFormat="1" x14ac:dyDescent="0.25">
      <c r="A457" s="451" t="s">
        <v>120</v>
      </c>
      <c r="B457" s="453" t="s">
        <v>5</v>
      </c>
      <c r="C457" s="453" t="s">
        <v>30</v>
      </c>
      <c r="D457" s="555" t="s">
        <v>850</v>
      </c>
      <c r="E457" s="473" t="s">
        <v>37</v>
      </c>
      <c r="F457" s="522">
        <f>F458</f>
        <v>470395.8</v>
      </c>
      <c r="G457" s="522">
        <f t="shared" si="106"/>
        <v>384783.8</v>
      </c>
      <c r="H457" s="522">
        <f t="shared" si="106"/>
        <v>0</v>
      </c>
      <c r="I457" s="522"/>
      <c r="J457" s="522">
        <f t="shared" si="106"/>
        <v>0</v>
      </c>
      <c r="K457" s="522"/>
      <c r="L457" s="521"/>
      <c r="N457" s="521"/>
      <c r="O457" s="521"/>
    </row>
    <row r="458" spans="1:24" s="519" customFormat="1" ht="31.5" x14ac:dyDescent="0.25">
      <c r="A458" s="451" t="s">
        <v>52</v>
      </c>
      <c r="B458" s="453" t="s">
        <v>5</v>
      </c>
      <c r="C458" s="453" t="s">
        <v>30</v>
      </c>
      <c r="D458" s="555" t="s">
        <v>850</v>
      </c>
      <c r="E458" s="473" t="s">
        <v>65</v>
      </c>
      <c r="F458" s="522">
        <f>'ведом. 2025-2027'!AD955</f>
        <v>470395.8</v>
      </c>
      <c r="G458" s="524">
        <f>384783.8</f>
        <v>384783.8</v>
      </c>
      <c r="H458" s="522">
        <f>'ведом. 2025-2027'!AE955</f>
        <v>0</v>
      </c>
      <c r="I458" s="522"/>
      <c r="J458" s="522">
        <f>'ведом. 2025-2027'!AF955</f>
        <v>0</v>
      </c>
      <c r="K458" s="522"/>
      <c r="L458" s="521"/>
      <c r="N458" s="521"/>
      <c r="O458" s="521"/>
    </row>
    <row r="459" spans="1:24" s="519" customFormat="1" ht="47.25" x14ac:dyDescent="0.25">
      <c r="A459" s="451" t="s">
        <v>897</v>
      </c>
      <c r="B459" s="453" t="s">
        <v>5</v>
      </c>
      <c r="C459" s="453" t="s">
        <v>30</v>
      </c>
      <c r="D459" s="542" t="s">
        <v>899</v>
      </c>
      <c r="E459" s="473"/>
      <c r="F459" s="522">
        <f>F460</f>
        <v>0</v>
      </c>
      <c r="G459" s="522"/>
      <c r="H459" s="522">
        <f t="shared" ref="H459:J461" si="107">H460</f>
        <v>2500</v>
      </c>
      <c r="I459" s="522"/>
      <c r="J459" s="522">
        <f t="shared" si="107"/>
        <v>0</v>
      </c>
      <c r="K459" s="522"/>
      <c r="L459" s="521"/>
      <c r="N459" s="521"/>
      <c r="O459" s="521"/>
    </row>
    <row r="460" spans="1:24" s="519" customFormat="1" ht="31.5" x14ac:dyDescent="0.25">
      <c r="A460" s="451" t="s">
        <v>898</v>
      </c>
      <c r="B460" s="453" t="s">
        <v>5</v>
      </c>
      <c r="C460" s="453" t="s">
        <v>30</v>
      </c>
      <c r="D460" s="542" t="s">
        <v>900</v>
      </c>
      <c r="E460" s="473"/>
      <c r="F460" s="522">
        <f>F461</f>
        <v>0</v>
      </c>
      <c r="G460" s="522"/>
      <c r="H460" s="522">
        <f t="shared" si="107"/>
        <v>2500</v>
      </c>
      <c r="I460" s="522"/>
      <c r="J460" s="522">
        <f t="shared" si="107"/>
        <v>0</v>
      </c>
      <c r="K460" s="522"/>
      <c r="L460" s="521"/>
      <c r="N460" s="521"/>
      <c r="O460" s="521"/>
    </row>
    <row r="461" spans="1:24" s="519" customFormat="1" x14ac:dyDescent="0.25">
      <c r="A461" s="451" t="s">
        <v>120</v>
      </c>
      <c r="B461" s="453" t="s">
        <v>5</v>
      </c>
      <c r="C461" s="453" t="s">
        <v>30</v>
      </c>
      <c r="D461" s="542" t="s">
        <v>900</v>
      </c>
      <c r="E461" s="473" t="s">
        <v>37</v>
      </c>
      <c r="F461" s="522">
        <f>F462</f>
        <v>0</v>
      </c>
      <c r="G461" s="522"/>
      <c r="H461" s="522">
        <f t="shared" si="107"/>
        <v>2500</v>
      </c>
      <c r="I461" s="522"/>
      <c r="J461" s="522">
        <f t="shared" si="107"/>
        <v>0</v>
      </c>
      <c r="K461" s="522"/>
      <c r="L461" s="521"/>
      <c r="N461" s="521"/>
      <c r="O461" s="521"/>
    </row>
    <row r="462" spans="1:24" s="519" customFormat="1" ht="31.5" x14ac:dyDescent="0.25">
      <c r="A462" s="451" t="s">
        <v>52</v>
      </c>
      <c r="B462" s="453" t="s">
        <v>5</v>
      </c>
      <c r="C462" s="453" t="s">
        <v>30</v>
      </c>
      <c r="D462" s="542" t="s">
        <v>900</v>
      </c>
      <c r="E462" s="473" t="s">
        <v>65</v>
      </c>
      <c r="F462" s="522">
        <f>'ведом. 2025-2027'!AD959</f>
        <v>0</v>
      </c>
      <c r="G462" s="524"/>
      <c r="H462" s="522">
        <f>'ведом. 2025-2027'!AE959</f>
        <v>2500</v>
      </c>
      <c r="I462" s="522"/>
      <c r="J462" s="522">
        <f>'ведом. 2025-2027'!AF959</f>
        <v>0</v>
      </c>
      <c r="K462" s="522"/>
      <c r="L462" s="521"/>
      <c r="N462" s="521"/>
      <c r="O462" s="521"/>
    </row>
    <row r="463" spans="1:24" s="155" customFormat="1" x14ac:dyDescent="0.25">
      <c r="A463" s="451" t="s">
        <v>664</v>
      </c>
      <c r="B463" s="515" t="s">
        <v>5</v>
      </c>
      <c r="C463" s="516" t="s">
        <v>30</v>
      </c>
      <c r="D463" s="458" t="s">
        <v>665</v>
      </c>
      <c r="E463" s="468"/>
      <c r="F463" s="522">
        <f>F464</f>
        <v>22000</v>
      </c>
      <c r="G463" s="522">
        <f t="shared" ref="G463:J469" si="108">G464</f>
        <v>16500</v>
      </c>
      <c r="H463" s="522">
        <f t="shared" si="108"/>
        <v>0</v>
      </c>
      <c r="I463" s="522"/>
      <c r="J463" s="522">
        <f t="shared" si="108"/>
        <v>0</v>
      </c>
      <c r="K463" s="522"/>
      <c r="L463" s="521"/>
      <c r="N463" s="521"/>
      <c r="O463" s="521"/>
      <c r="R463" s="21"/>
      <c r="S463" s="207"/>
      <c r="T463" s="208"/>
      <c r="U463" s="208"/>
      <c r="V463" s="209"/>
      <c r="W463" s="209"/>
      <c r="X463" s="210"/>
    </row>
    <row r="464" spans="1:24" s="155" customFormat="1" ht="31.5" x14ac:dyDescent="0.25">
      <c r="A464" s="451" t="s">
        <v>667</v>
      </c>
      <c r="B464" s="515" t="s">
        <v>5</v>
      </c>
      <c r="C464" s="516" t="s">
        <v>30</v>
      </c>
      <c r="D464" s="458" t="s">
        <v>666</v>
      </c>
      <c r="E464" s="468"/>
      <c r="F464" s="522">
        <f>F468+F465</f>
        <v>22000</v>
      </c>
      <c r="G464" s="522">
        <f t="shared" ref="G464:J464" si="109">G468+G465</f>
        <v>16500</v>
      </c>
      <c r="H464" s="522">
        <f t="shared" si="109"/>
        <v>0</v>
      </c>
      <c r="I464" s="522"/>
      <c r="J464" s="522">
        <f t="shared" si="109"/>
        <v>0</v>
      </c>
      <c r="K464" s="522"/>
      <c r="L464" s="521"/>
      <c r="N464" s="521"/>
      <c r="O464" s="521"/>
      <c r="R464" s="21"/>
      <c r="S464" s="207"/>
      <c r="T464" s="208"/>
      <c r="U464" s="208"/>
      <c r="V464" s="209"/>
      <c r="W464" s="209"/>
      <c r="X464" s="210"/>
    </row>
    <row r="465" spans="1:24" s="155" customFormat="1" ht="31.5" x14ac:dyDescent="0.25">
      <c r="A465" s="451" t="s">
        <v>842</v>
      </c>
      <c r="B465" s="453" t="s">
        <v>5</v>
      </c>
      <c r="C465" s="453" t="s">
        <v>30</v>
      </c>
      <c r="D465" s="542" t="s">
        <v>843</v>
      </c>
      <c r="E465" s="473"/>
      <c r="F465" s="522">
        <f>F466</f>
        <v>5500</v>
      </c>
      <c r="G465" s="522"/>
      <c r="H465" s="522">
        <f t="shared" ref="H465:J466" si="110">H466</f>
        <v>0</v>
      </c>
      <c r="I465" s="522"/>
      <c r="J465" s="522">
        <f t="shared" si="110"/>
        <v>0</v>
      </c>
      <c r="K465" s="522"/>
      <c r="L465" s="521"/>
      <c r="N465" s="521"/>
      <c r="O465" s="521"/>
      <c r="R465" s="21"/>
      <c r="S465" s="207"/>
      <c r="T465" s="208"/>
      <c r="U465" s="208"/>
      <c r="V465" s="209"/>
      <c r="W465" s="209"/>
      <c r="X465" s="210"/>
    </row>
    <row r="466" spans="1:24" s="155" customFormat="1" x14ac:dyDescent="0.25">
      <c r="A466" s="451" t="s">
        <v>120</v>
      </c>
      <c r="B466" s="453" t="s">
        <v>5</v>
      </c>
      <c r="C466" s="453" t="s">
        <v>30</v>
      </c>
      <c r="D466" s="542" t="s">
        <v>843</v>
      </c>
      <c r="E466" s="473" t="s">
        <v>37</v>
      </c>
      <c r="F466" s="522">
        <f>F467</f>
        <v>5500</v>
      </c>
      <c r="G466" s="522"/>
      <c r="H466" s="522">
        <f t="shared" si="110"/>
        <v>0</v>
      </c>
      <c r="I466" s="522"/>
      <c r="J466" s="522">
        <f t="shared" si="110"/>
        <v>0</v>
      </c>
      <c r="K466" s="522"/>
      <c r="L466" s="521"/>
      <c r="N466" s="521"/>
      <c r="O466" s="521"/>
      <c r="R466" s="21"/>
      <c r="S466" s="207"/>
      <c r="T466" s="208"/>
      <c r="U466" s="208"/>
      <c r="V466" s="209"/>
      <c r="W466" s="209"/>
      <c r="X466" s="210"/>
    </row>
    <row r="467" spans="1:24" s="155" customFormat="1" ht="31.5" x14ac:dyDescent="0.25">
      <c r="A467" s="451" t="s">
        <v>52</v>
      </c>
      <c r="B467" s="453" t="s">
        <v>5</v>
      </c>
      <c r="C467" s="453" t="s">
        <v>30</v>
      </c>
      <c r="D467" s="542" t="s">
        <v>843</v>
      </c>
      <c r="E467" s="473" t="s">
        <v>65</v>
      </c>
      <c r="F467" s="522">
        <f>'ведом. 2025-2027'!AD964</f>
        <v>5500</v>
      </c>
      <c r="G467" s="522"/>
      <c r="H467" s="522">
        <f>'ведом. 2025-2027'!AE964</f>
        <v>0</v>
      </c>
      <c r="I467" s="522"/>
      <c r="J467" s="522">
        <f>'ведом. 2025-2027'!AF964</f>
        <v>0</v>
      </c>
      <c r="K467" s="522"/>
      <c r="L467" s="521"/>
      <c r="N467" s="521"/>
      <c r="O467" s="521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451" t="s">
        <v>668</v>
      </c>
      <c r="B468" s="515" t="s">
        <v>5</v>
      </c>
      <c r="C468" s="516" t="s">
        <v>30</v>
      </c>
      <c r="D468" s="458" t="s">
        <v>669</v>
      </c>
      <c r="E468" s="468"/>
      <c r="F468" s="522">
        <f>F469</f>
        <v>16500</v>
      </c>
      <c r="G468" s="522">
        <f>G469</f>
        <v>16500</v>
      </c>
      <c r="H468" s="522">
        <f t="shared" si="108"/>
        <v>0</v>
      </c>
      <c r="I468" s="522"/>
      <c r="J468" s="522">
        <f t="shared" si="108"/>
        <v>0</v>
      </c>
      <c r="K468" s="522"/>
      <c r="L468" s="521"/>
      <c r="N468" s="521"/>
      <c r="O468" s="521"/>
      <c r="R468" s="21"/>
      <c r="S468" s="207"/>
      <c r="T468" s="208"/>
      <c r="U468" s="208"/>
      <c r="V468" s="209"/>
      <c r="W468" s="209"/>
      <c r="X468" s="210"/>
    </row>
    <row r="469" spans="1:24" s="155" customFormat="1" x14ac:dyDescent="0.25">
      <c r="A469" s="523" t="s">
        <v>42</v>
      </c>
      <c r="B469" s="515" t="s">
        <v>5</v>
      </c>
      <c r="C469" s="516" t="s">
        <v>30</v>
      </c>
      <c r="D469" s="458" t="s">
        <v>669</v>
      </c>
      <c r="E469" s="525" t="s">
        <v>346</v>
      </c>
      <c r="F469" s="522">
        <f>F470</f>
        <v>16500</v>
      </c>
      <c r="G469" s="522">
        <f>G470</f>
        <v>16500</v>
      </c>
      <c r="H469" s="522">
        <f t="shared" si="108"/>
        <v>0</v>
      </c>
      <c r="I469" s="522"/>
      <c r="J469" s="522">
        <f t="shared" si="108"/>
        <v>0</v>
      </c>
      <c r="K469" s="522"/>
      <c r="L469" s="521"/>
      <c r="N469" s="521"/>
      <c r="O469" s="521"/>
      <c r="R469" s="21"/>
      <c r="S469" s="207"/>
      <c r="T469" s="208"/>
      <c r="U469" s="208"/>
      <c r="V469" s="209"/>
      <c r="W469" s="209"/>
      <c r="X469" s="210"/>
    </row>
    <row r="470" spans="1:24" s="155" customFormat="1" ht="31.5" x14ac:dyDescent="0.25">
      <c r="A470" s="523" t="s">
        <v>121</v>
      </c>
      <c r="B470" s="515" t="s">
        <v>5</v>
      </c>
      <c r="C470" s="516" t="s">
        <v>30</v>
      </c>
      <c r="D470" s="458" t="s">
        <v>669</v>
      </c>
      <c r="E470" s="525" t="s">
        <v>347</v>
      </c>
      <c r="F470" s="522">
        <f>'ведом. 2025-2027'!AD304</f>
        <v>16500</v>
      </c>
      <c r="G470" s="524">
        <f>F470</f>
        <v>16500</v>
      </c>
      <c r="H470" s="522">
        <f>'ведом. 2025-2027'!AE304</f>
        <v>0</v>
      </c>
      <c r="I470" s="522"/>
      <c r="J470" s="522">
        <f>'ведом. 2025-2027'!AF304</f>
        <v>0</v>
      </c>
      <c r="K470" s="522"/>
      <c r="L470" s="521"/>
      <c r="N470" s="521"/>
      <c r="O470" s="521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57" t="s">
        <v>186</v>
      </c>
      <c r="B471" s="453" t="s">
        <v>5</v>
      </c>
      <c r="C471" s="453" t="s">
        <v>30</v>
      </c>
      <c r="D471" s="542" t="s">
        <v>112</v>
      </c>
      <c r="E471" s="454"/>
      <c r="F471" s="522">
        <f>F472</f>
        <v>98000</v>
      </c>
      <c r="G471" s="522"/>
      <c r="H471" s="522">
        <f t="shared" ref="H471:J471" si="111">H472</f>
        <v>0</v>
      </c>
      <c r="I471" s="522"/>
      <c r="J471" s="522">
        <f t="shared" si="111"/>
        <v>0</v>
      </c>
      <c r="K471" s="522"/>
      <c r="L471" s="521"/>
      <c r="N471" s="521"/>
      <c r="O471" s="521"/>
      <c r="R471" s="21"/>
      <c r="S471" s="207"/>
      <c r="T471" s="208"/>
      <c r="U471" s="208"/>
      <c r="V471" s="209"/>
      <c r="W471" s="209"/>
      <c r="X471" s="210"/>
    </row>
    <row r="472" spans="1:24" s="155" customFormat="1" x14ac:dyDescent="0.25">
      <c r="A472" s="451" t="s">
        <v>48</v>
      </c>
      <c r="B472" s="453" t="s">
        <v>5</v>
      </c>
      <c r="C472" s="453" t="s">
        <v>30</v>
      </c>
      <c r="D472" s="542" t="s">
        <v>190</v>
      </c>
      <c r="E472" s="454"/>
      <c r="F472" s="522">
        <f>F473</f>
        <v>98000</v>
      </c>
      <c r="G472" s="522"/>
      <c r="H472" s="522">
        <f t="shared" ref="H472:J472" si="112">H473</f>
        <v>0</v>
      </c>
      <c r="I472" s="522"/>
      <c r="J472" s="522">
        <f t="shared" si="112"/>
        <v>0</v>
      </c>
      <c r="K472" s="522"/>
      <c r="L472" s="521"/>
      <c r="N472" s="521"/>
      <c r="O472" s="521"/>
      <c r="R472" s="21"/>
      <c r="S472" s="207"/>
      <c r="T472" s="208"/>
      <c r="U472" s="208"/>
      <c r="V472" s="209"/>
      <c r="W472" s="209"/>
      <c r="X472" s="210"/>
    </row>
    <row r="473" spans="1:24" s="155" customFormat="1" ht="31.5" x14ac:dyDescent="0.25">
      <c r="A473" s="451" t="s">
        <v>327</v>
      </c>
      <c r="B473" s="453" t="s">
        <v>5</v>
      </c>
      <c r="C473" s="453" t="s">
        <v>30</v>
      </c>
      <c r="D473" s="542" t="s">
        <v>192</v>
      </c>
      <c r="E473" s="454"/>
      <c r="F473" s="522">
        <f>F474</f>
        <v>98000</v>
      </c>
      <c r="G473" s="522"/>
      <c r="H473" s="522">
        <f t="shared" ref="H473:J473" si="113">H474</f>
        <v>0</v>
      </c>
      <c r="I473" s="522"/>
      <c r="J473" s="522">
        <f t="shared" si="113"/>
        <v>0</v>
      </c>
      <c r="K473" s="522"/>
      <c r="L473" s="521"/>
      <c r="N473" s="521"/>
      <c r="O473" s="521"/>
      <c r="R473" s="21"/>
      <c r="S473" s="207"/>
      <c r="T473" s="208"/>
      <c r="U473" s="208"/>
      <c r="V473" s="209"/>
      <c r="W473" s="209"/>
      <c r="X473" s="210"/>
    </row>
    <row r="474" spans="1:24" s="155" customFormat="1" x14ac:dyDescent="0.25">
      <c r="A474" s="451" t="s">
        <v>818</v>
      </c>
      <c r="B474" s="453" t="s">
        <v>5</v>
      </c>
      <c r="C474" s="453" t="s">
        <v>30</v>
      </c>
      <c r="D474" s="542" t="s">
        <v>819</v>
      </c>
      <c r="E474" s="454"/>
      <c r="F474" s="522">
        <f>F475</f>
        <v>98000</v>
      </c>
      <c r="G474" s="522"/>
      <c r="H474" s="522">
        <f t="shared" ref="H474:J474" si="114">H475</f>
        <v>0</v>
      </c>
      <c r="I474" s="522"/>
      <c r="J474" s="522">
        <f t="shared" si="114"/>
        <v>0</v>
      </c>
      <c r="K474" s="522"/>
      <c r="L474" s="521"/>
      <c r="N474" s="521"/>
      <c r="O474" s="521"/>
      <c r="R474" s="21"/>
      <c r="S474" s="207"/>
      <c r="T474" s="208"/>
      <c r="U474" s="208"/>
      <c r="V474" s="209"/>
      <c r="W474" s="209"/>
      <c r="X474" s="210"/>
    </row>
    <row r="475" spans="1:24" s="155" customFormat="1" x14ac:dyDescent="0.25">
      <c r="A475" s="451" t="s">
        <v>42</v>
      </c>
      <c r="B475" s="453" t="s">
        <v>5</v>
      </c>
      <c r="C475" s="453" t="s">
        <v>30</v>
      </c>
      <c r="D475" s="542" t="s">
        <v>819</v>
      </c>
      <c r="E475" s="454">
        <v>800</v>
      </c>
      <c r="F475" s="522">
        <f>F476</f>
        <v>98000</v>
      </c>
      <c r="G475" s="522"/>
      <c r="H475" s="522">
        <f t="shared" ref="H475:J475" si="115">H476</f>
        <v>0</v>
      </c>
      <c r="I475" s="522"/>
      <c r="J475" s="522">
        <f t="shared" si="115"/>
        <v>0</v>
      </c>
      <c r="K475" s="522"/>
      <c r="L475" s="521"/>
      <c r="N475" s="521"/>
      <c r="O475" s="521"/>
      <c r="R475" s="21"/>
      <c r="S475" s="207"/>
      <c r="T475" s="208"/>
      <c r="U475" s="208"/>
      <c r="V475" s="209"/>
      <c r="W475" s="209"/>
      <c r="X475" s="210"/>
    </row>
    <row r="476" spans="1:24" s="155" customFormat="1" ht="31.5" x14ac:dyDescent="0.25">
      <c r="A476" s="451" t="s">
        <v>121</v>
      </c>
      <c r="B476" s="453" t="s">
        <v>5</v>
      </c>
      <c r="C476" s="453" t="s">
        <v>30</v>
      </c>
      <c r="D476" s="542" t="s">
        <v>819</v>
      </c>
      <c r="E476" s="454">
        <v>810</v>
      </c>
      <c r="F476" s="522">
        <f>'ведом. 2025-2027'!AD648</f>
        <v>98000</v>
      </c>
      <c r="G476" s="522"/>
      <c r="H476" s="522">
        <f>'ведом. 2025-2027'!AF648</f>
        <v>0</v>
      </c>
      <c r="I476" s="522"/>
      <c r="J476" s="522">
        <f>'ведом. 2025-2027'!AH648</f>
        <v>0</v>
      </c>
      <c r="K476" s="522"/>
      <c r="L476" s="521"/>
      <c r="N476" s="521"/>
      <c r="O476" s="521"/>
      <c r="R476" s="21"/>
      <c r="S476" s="207"/>
      <c r="T476" s="208"/>
      <c r="U476" s="208"/>
      <c r="V476" s="209"/>
      <c r="W476" s="209"/>
      <c r="X476" s="210"/>
    </row>
    <row r="477" spans="1:24" s="501" customFormat="1" x14ac:dyDescent="0.25">
      <c r="A477" s="457" t="s">
        <v>242</v>
      </c>
      <c r="B477" s="453" t="s">
        <v>5</v>
      </c>
      <c r="C477" s="454" t="s">
        <v>30</v>
      </c>
      <c r="D477" s="458" t="s">
        <v>243</v>
      </c>
      <c r="E477" s="468"/>
      <c r="F477" s="505">
        <f>F478</f>
        <v>593.1</v>
      </c>
      <c r="G477" s="505">
        <f t="shared" ref="G477:J481" si="116">G478</f>
        <v>485.1</v>
      </c>
      <c r="H477" s="522">
        <f t="shared" si="116"/>
        <v>1519.6</v>
      </c>
      <c r="I477" s="522">
        <f t="shared" si="116"/>
        <v>1247.5999999999999</v>
      </c>
      <c r="J477" s="522">
        <f t="shared" si="116"/>
        <v>0</v>
      </c>
      <c r="K477" s="522"/>
      <c r="L477" s="504"/>
      <c r="N477" s="504"/>
      <c r="O477" s="504"/>
    </row>
    <row r="478" spans="1:24" s="501" customFormat="1" ht="31.5" x14ac:dyDescent="0.25">
      <c r="A478" s="457" t="s">
        <v>539</v>
      </c>
      <c r="B478" s="453" t="s">
        <v>5</v>
      </c>
      <c r="C478" s="454" t="s">
        <v>30</v>
      </c>
      <c r="D478" s="458" t="s">
        <v>244</v>
      </c>
      <c r="E478" s="468"/>
      <c r="F478" s="505">
        <f>F479</f>
        <v>593.1</v>
      </c>
      <c r="G478" s="505">
        <f t="shared" si="116"/>
        <v>485.1</v>
      </c>
      <c r="H478" s="522">
        <f t="shared" si="116"/>
        <v>1519.6</v>
      </c>
      <c r="I478" s="522">
        <f t="shared" si="116"/>
        <v>1247.5999999999999</v>
      </c>
      <c r="J478" s="522">
        <f t="shared" si="116"/>
        <v>0</v>
      </c>
      <c r="K478" s="522"/>
      <c r="L478" s="504"/>
      <c r="N478" s="504"/>
      <c r="O478" s="504"/>
    </row>
    <row r="479" spans="1:24" s="501" customFormat="1" ht="31.5" x14ac:dyDescent="0.25">
      <c r="A479" s="466" t="s">
        <v>540</v>
      </c>
      <c r="B479" s="453" t="s">
        <v>5</v>
      </c>
      <c r="C479" s="454" t="s">
        <v>30</v>
      </c>
      <c r="D479" s="458" t="s">
        <v>245</v>
      </c>
      <c r="E479" s="468"/>
      <c r="F479" s="505">
        <f>F480</f>
        <v>593.1</v>
      </c>
      <c r="G479" s="505">
        <f t="shared" si="116"/>
        <v>485.1</v>
      </c>
      <c r="H479" s="522">
        <f t="shared" si="116"/>
        <v>1519.6</v>
      </c>
      <c r="I479" s="522">
        <f t="shared" si="116"/>
        <v>1247.5999999999999</v>
      </c>
      <c r="J479" s="522">
        <f t="shared" si="116"/>
        <v>0</v>
      </c>
      <c r="K479" s="522"/>
      <c r="L479" s="504"/>
      <c r="N479" s="504"/>
      <c r="O479" s="504"/>
    </row>
    <row r="480" spans="1:24" s="501" customFormat="1" x14ac:dyDescent="0.25">
      <c r="A480" s="451" t="s">
        <v>641</v>
      </c>
      <c r="B480" s="453" t="s">
        <v>5</v>
      </c>
      <c r="C480" s="454" t="s">
        <v>30</v>
      </c>
      <c r="D480" s="458" t="s">
        <v>642</v>
      </c>
      <c r="E480" s="468"/>
      <c r="F480" s="505">
        <f>F481</f>
        <v>593.1</v>
      </c>
      <c r="G480" s="505">
        <f t="shared" si="116"/>
        <v>485.1</v>
      </c>
      <c r="H480" s="522">
        <f t="shared" si="116"/>
        <v>1519.6</v>
      </c>
      <c r="I480" s="522">
        <f t="shared" si="116"/>
        <v>1247.5999999999999</v>
      </c>
      <c r="J480" s="522">
        <f t="shared" si="116"/>
        <v>0</v>
      </c>
      <c r="K480" s="522"/>
      <c r="L480" s="504"/>
      <c r="N480" s="504"/>
      <c r="O480" s="504"/>
    </row>
    <row r="481" spans="1:15" s="501" customFormat="1" x14ac:dyDescent="0.25">
      <c r="A481" s="451" t="s">
        <v>120</v>
      </c>
      <c r="B481" s="453" t="s">
        <v>5</v>
      </c>
      <c r="C481" s="454" t="s">
        <v>30</v>
      </c>
      <c r="D481" s="458" t="s">
        <v>642</v>
      </c>
      <c r="E481" s="468" t="s">
        <v>37</v>
      </c>
      <c r="F481" s="505">
        <f>F482</f>
        <v>593.1</v>
      </c>
      <c r="G481" s="505">
        <f t="shared" si="116"/>
        <v>485.1</v>
      </c>
      <c r="H481" s="522">
        <f t="shared" si="116"/>
        <v>1519.6</v>
      </c>
      <c r="I481" s="522">
        <f t="shared" si="116"/>
        <v>1247.5999999999999</v>
      </c>
      <c r="J481" s="522">
        <f t="shared" si="116"/>
        <v>0</v>
      </c>
      <c r="K481" s="522"/>
      <c r="L481" s="504"/>
      <c r="N481" s="504"/>
      <c r="O481" s="504"/>
    </row>
    <row r="482" spans="1:15" s="501" customFormat="1" ht="31.5" x14ac:dyDescent="0.25">
      <c r="A482" s="451" t="s">
        <v>52</v>
      </c>
      <c r="B482" s="453" t="s">
        <v>5</v>
      </c>
      <c r="C482" s="454" t="s">
        <v>30</v>
      </c>
      <c r="D482" s="458" t="s">
        <v>642</v>
      </c>
      <c r="E482" s="468" t="s">
        <v>65</v>
      </c>
      <c r="F482" s="505">
        <f>'ведом. 2025-2027'!AD970</f>
        <v>593.1</v>
      </c>
      <c r="G482" s="509">
        <f>485.1</f>
        <v>485.1</v>
      </c>
      <c r="H482" s="522">
        <f>'ведом. 2025-2027'!AE970</f>
        <v>1519.6</v>
      </c>
      <c r="I482" s="522">
        <v>1247.5999999999999</v>
      </c>
      <c r="J482" s="522">
        <f>'ведом. 2025-2027'!AF970</f>
        <v>0</v>
      </c>
      <c r="K482" s="522"/>
      <c r="L482" s="504"/>
      <c r="N482" s="504"/>
      <c r="O482" s="504"/>
    </row>
    <row r="483" spans="1:15" s="138" customFormat="1" x14ac:dyDescent="0.25">
      <c r="A483" s="375" t="s">
        <v>18</v>
      </c>
      <c r="B483" s="191" t="s">
        <v>5</v>
      </c>
      <c r="C483" s="4" t="s">
        <v>7</v>
      </c>
      <c r="D483" s="321"/>
      <c r="E483" s="328"/>
      <c r="F483" s="159">
        <f>F516+F504+F484+F510+F497</f>
        <v>901851.50000000012</v>
      </c>
      <c r="G483" s="522">
        <f t="shared" ref="G483:K483" si="117">G516+G504+G484+G510+G497</f>
        <v>309917.2</v>
      </c>
      <c r="H483" s="522">
        <f t="shared" si="117"/>
        <v>413974.4</v>
      </c>
      <c r="I483" s="522">
        <f t="shared" si="117"/>
        <v>13931.9</v>
      </c>
      <c r="J483" s="522">
        <f t="shared" si="117"/>
        <v>691441.2</v>
      </c>
      <c r="K483" s="522">
        <f t="shared" si="117"/>
        <v>199026.8</v>
      </c>
      <c r="L483" s="154"/>
      <c r="N483" s="154"/>
      <c r="O483" s="154"/>
    </row>
    <row r="484" spans="1:15" s="138" customFormat="1" ht="31.5" x14ac:dyDescent="0.25">
      <c r="A484" s="255" t="s">
        <v>161</v>
      </c>
      <c r="B484" s="191" t="s">
        <v>5</v>
      </c>
      <c r="C484" s="4" t="s">
        <v>7</v>
      </c>
      <c r="D484" s="26" t="s">
        <v>102</v>
      </c>
      <c r="E484" s="328"/>
      <c r="F484" s="159">
        <f>F485</f>
        <v>23359.8</v>
      </c>
      <c r="G484" s="306"/>
      <c r="H484" s="522">
        <f>H485</f>
        <v>4741</v>
      </c>
      <c r="I484" s="522"/>
      <c r="J484" s="522">
        <f>J485</f>
        <v>4741</v>
      </c>
      <c r="K484" s="522"/>
      <c r="L484" s="154"/>
      <c r="N484" s="154"/>
      <c r="O484" s="154"/>
    </row>
    <row r="485" spans="1:15" s="138" customFormat="1" x14ac:dyDescent="0.25">
      <c r="A485" s="259" t="s">
        <v>162</v>
      </c>
      <c r="B485" s="191" t="s">
        <v>5</v>
      </c>
      <c r="C485" s="4" t="s">
        <v>7</v>
      </c>
      <c r="D485" s="26" t="s">
        <v>106</v>
      </c>
      <c r="E485" s="328"/>
      <c r="F485" s="159">
        <f>F486+F490</f>
        <v>23359.8</v>
      </c>
      <c r="G485" s="306"/>
      <c r="H485" s="522">
        <f>H486+H490</f>
        <v>4741</v>
      </c>
      <c r="I485" s="522"/>
      <c r="J485" s="522">
        <f>J486+J490</f>
        <v>4741</v>
      </c>
      <c r="K485" s="522"/>
      <c r="L485" s="154"/>
      <c r="N485" s="154"/>
      <c r="O485" s="154"/>
    </row>
    <row r="486" spans="1:15" s="138" customFormat="1" x14ac:dyDescent="0.25">
      <c r="A486" s="274" t="s">
        <v>527</v>
      </c>
      <c r="B486" s="191" t="s">
        <v>5</v>
      </c>
      <c r="C486" s="4" t="s">
        <v>7</v>
      </c>
      <c r="D486" s="26" t="s">
        <v>335</v>
      </c>
      <c r="E486" s="328"/>
      <c r="F486" s="159">
        <f>F487</f>
        <v>15638.8</v>
      </c>
      <c r="G486" s="306"/>
      <c r="H486" s="522">
        <f>H487</f>
        <v>0</v>
      </c>
      <c r="I486" s="522"/>
      <c r="J486" s="522">
        <f>J487</f>
        <v>0</v>
      </c>
      <c r="K486" s="522"/>
      <c r="L486" s="154"/>
      <c r="N486" s="154"/>
      <c r="O486" s="154"/>
    </row>
    <row r="487" spans="1:15" s="138" customFormat="1" x14ac:dyDescent="0.25">
      <c r="A487" s="257" t="s">
        <v>248</v>
      </c>
      <c r="B487" s="191" t="s">
        <v>5</v>
      </c>
      <c r="C487" s="4" t="s">
        <v>7</v>
      </c>
      <c r="D487" s="26" t="s">
        <v>355</v>
      </c>
      <c r="E487" s="328"/>
      <c r="F487" s="159">
        <f>F488</f>
        <v>15638.8</v>
      </c>
      <c r="G487" s="522"/>
      <c r="H487" s="522">
        <f t="shared" ref="H487:J487" si="118">H488</f>
        <v>0</v>
      </c>
      <c r="I487" s="522"/>
      <c r="J487" s="522">
        <f t="shared" si="118"/>
        <v>0</v>
      </c>
      <c r="K487" s="522"/>
      <c r="L487" s="154"/>
      <c r="N487" s="154"/>
      <c r="O487" s="154"/>
    </row>
    <row r="488" spans="1:15" s="138" customFormat="1" x14ac:dyDescent="0.25">
      <c r="A488" s="253" t="s">
        <v>120</v>
      </c>
      <c r="B488" s="191" t="s">
        <v>5</v>
      </c>
      <c r="C488" s="4" t="s">
        <v>7</v>
      </c>
      <c r="D488" s="26" t="s">
        <v>355</v>
      </c>
      <c r="E488" s="328" t="s">
        <v>37</v>
      </c>
      <c r="F488" s="159">
        <f>F489</f>
        <v>15638.8</v>
      </c>
      <c r="G488" s="306"/>
      <c r="H488" s="522">
        <f>H489</f>
        <v>0</v>
      </c>
      <c r="I488" s="522"/>
      <c r="J488" s="522">
        <f>J489</f>
        <v>0</v>
      </c>
      <c r="K488" s="522"/>
      <c r="L488" s="154"/>
      <c r="N488" s="154"/>
      <c r="O488" s="154"/>
    </row>
    <row r="489" spans="1:15" s="138" customFormat="1" ht="31.5" x14ac:dyDescent="0.25">
      <c r="A489" s="253" t="s">
        <v>52</v>
      </c>
      <c r="B489" s="191" t="s">
        <v>5</v>
      </c>
      <c r="C489" s="4" t="s">
        <v>7</v>
      </c>
      <c r="D489" s="26" t="s">
        <v>336</v>
      </c>
      <c r="E489" s="328" t="s">
        <v>65</v>
      </c>
      <c r="F489" s="159">
        <f>'ведом. 2025-2027'!AD311</f>
        <v>15638.8</v>
      </c>
      <c r="G489" s="306"/>
      <c r="H489" s="522">
        <f>'ведом. 2025-2027'!AE311</f>
        <v>0</v>
      </c>
      <c r="I489" s="522"/>
      <c r="J489" s="522">
        <f>'ведом. 2025-2027'!AF311</f>
        <v>0</v>
      </c>
      <c r="K489" s="522"/>
      <c r="L489" s="154"/>
      <c r="N489" s="154"/>
      <c r="O489" s="154"/>
    </row>
    <row r="490" spans="1:15" s="138" customFormat="1" ht="31.5" x14ac:dyDescent="0.25">
      <c r="A490" s="258" t="s">
        <v>247</v>
      </c>
      <c r="B490" s="191" t="s">
        <v>5</v>
      </c>
      <c r="C490" s="4" t="s">
        <v>7</v>
      </c>
      <c r="D490" s="26" t="s">
        <v>337</v>
      </c>
      <c r="E490" s="328"/>
      <c r="F490" s="159">
        <f>F491+F493+F495</f>
        <v>7721</v>
      </c>
      <c r="G490" s="159"/>
      <c r="H490" s="522">
        <f>H491+H493</f>
        <v>4741</v>
      </c>
      <c r="I490" s="522"/>
      <c r="J490" s="522">
        <f>J491+J493</f>
        <v>4741</v>
      </c>
      <c r="K490" s="522"/>
      <c r="L490" s="154"/>
      <c r="N490" s="154"/>
      <c r="O490" s="154"/>
    </row>
    <row r="491" spans="1:15" s="138" customFormat="1" ht="47.25" x14ac:dyDescent="0.25">
      <c r="A491" s="253" t="s">
        <v>41</v>
      </c>
      <c r="B491" s="191" t="s">
        <v>5</v>
      </c>
      <c r="C491" s="4" t="s">
        <v>7</v>
      </c>
      <c r="D491" s="26" t="s">
        <v>337</v>
      </c>
      <c r="E491" s="328" t="s">
        <v>127</v>
      </c>
      <c r="F491" s="159">
        <f>F492</f>
        <v>7023.2</v>
      </c>
      <c r="G491" s="306"/>
      <c r="H491" s="522">
        <f>H492</f>
        <v>3841.6</v>
      </c>
      <c r="I491" s="522"/>
      <c r="J491" s="522">
        <f>J492</f>
        <v>3841.6</v>
      </c>
      <c r="K491" s="522"/>
      <c r="L491" s="154"/>
      <c r="N491" s="154"/>
      <c r="O491" s="154"/>
    </row>
    <row r="492" spans="1:15" s="138" customFormat="1" x14ac:dyDescent="0.25">
      <c r="A492" s="253" t="s">
        <v>68</v>
      </c>
      <c r="B492" s="191" t="s">
        <v>5</v>
      </c>
      <c r="C492" s="4" t="s">
        <v>7</v>
      </c>
      <c r="D492" s="26" t="s">
        <v>337</v>
      </c>
      <c r="E492" s="328" t="s">
        <v>128</v>
      </c>
      <c r="F492" s="159">
        <f>'ведом. 2025-2027'!AD314</f>
        <v>7023.2</v>
      </c>
      <c r="G492" s="306"/>
      <c r="H492" s="522">
        <f>'ведом. 2025-2027'!AE314</f>
        <v>3841.6</v>
      </c>
      <c r="I492" s="522"/>
      <c r="J492" s="522">
        <f>'ведом. 2025-2027'!AF314</f>
        <v>3841.6</v>
      </c>
      <c r="K492" s="522"/>
      <c r="L492" s="154"/>
      <c r="N492" s="154"/>
      <c r="O492" s="154"/>
    </row>
    <row r="493" spans="1:15" s="138" customFormat="1" x14ac:dyDescent="0.25">
      <c r="A493" s="253" t="s">
        <v>120</v>
      </c>
      <c r="B493" s="191" t="s">
        <v>5</v>
      </c>
      <c r="C493" s="4" t="s">
        <v>7</v>
      </c>
      <c r="D493" s="26" t="s">
        <v>337</v>
      </c>
      <c r="E493" s="328" t="s">
        <v>37</v>
      </c>
      <c r="F493" s="159">
        <f>F494</f>
        <v>696.3</v>
      </c>
      <c r="G493" s="306"/>
      <c r="H493" s="522">
        <f>H494</f>
        <v>899.4</v>
      </c>
      <c r="I493" s="522"/>
      <c r="J493" s="522">
        <f>J494</f>
        <v>899.4</v>
      </c>
      <c r="K493" s="522"/>
      <c r="L493" s="154"/>
      <c r="N493" s="154"/>
      <c r="O493" s="154"/>
    </row>
    <row r="494" spans="1:15" s="138" customFormat="1" ht="31.5" x14ac:dyDescent="0.25">
      <c r="A494" s="253" t="s">
        <v>52</v>
      </c>
      <c r="B494" s="191" t="s">
        <v>5</v>
      </c>
      <c r="C494" s="4" t="s">
        <v>7</v>
      </c>
      <c r="D494" s="26" t="s">
        <v>337</v>
      </c>
      <c r="E494" s="328" t="s">
        <v>65</v>
      </c>
      <c r="F494" s="159">
        <f>'ведом. 2025-2027'!AD316</f>
        <v>696.3</v>
      </c>
      <c r="G494" s="306"/>
      <c r="H494" s="522">
        <f>'ведом. 2025-2027'!AE316</f>
        <v>899.4</v>
      </c>
      <c r="I494" s="522"/>
      <c r="J494" s="522">
        <f>'ведом. 2025-2027'!AF316</f>
        <v>899.4</v>
      </c>
      <c r="K494" s="522"/>
      <c r="L494" s="154"/>
      <c r="N494" s="154"/>
      <c r="O494" s="154"/>
    </row>
    <row r="495" spans="1:15" s="519" customFormat="1" x14ac:dyDescent="0.25">
      <c r="A495" s="451" t="s">
        <v>42</v>
      </c>
      <c r="B495" s="453" t="s">
        <v>5</v>
      </c>
      <c r="C495" s="453" t="s">
        <v>7</v>
      </c>
      <c r="D495" s="541" t="s">
        <v>337</v>
      </c>
      <c r="E495" s="473" t="s">
        <v>346</v>
      </c>
      <c r="F495" s="522">
        <f>F496</f>
        <v>1.5</v>
      </c>
      <c r="G495" s="522"/>
      <c r="H495" s="522">
        <f t="shared" ref="H495:J495" si="119">H496</f>
        <v>0</v>
      </c>
      <c r="I495" s="522"/>
      <c r="J495" s="522">
        <f t="shared" si="119"/>
        <v>0</v>
      </c>
      <c r="K495" s="522"/>
      <c r="L495" s="521"/>
      <c r="N495" s="521"/>
      <c r="O495" s="521"/>
    </row>
    <row r="496" spans="1:15" s="519" customFormat="1" x14ac:dyDescent="0.25">
      <c r="A496" s="451" t="s">
        <v>57</v>
      </c>
      <c r="B496" s="453" t="s">
        <v>5</v>
      </c>
      <c r="C496" s="453" t="s">
        <v>7</v>
      </c>
      <c r="D496" s="541" t="s">
        <v>337</v>
      </c>
      <c r="E496" s="473" t="s">
        <v>821</v>
      </c>
      <c r="F496" s="522">
        <f>'ведом. 2025-2027'!AD318</f>
        <v>1.5</v>
      </c>
      <c r="G496" s="524"/>
      <c r="H496" s="522">
        <f>'ведом. 2025-2027'!AE318</f>
        <v>0</v>
      </c>
      <c r="I496" s="522"/>
      <c r="J496" s="522">
        <f>'ведом. 2025-2027'!AF318</f>
        <v>0</v>
      </c>
      <c r="K496" s="522"/>
      <c r="L496" s="521"/>
      <c r="N496" s="521"/>
      <c r="O496" s="521"/>
    </row>
    <row r="497" spans="1:15" s="519" customFormat="1" x14ac:dyDescent="0.25">
      <c r="A497" s="255" t="s">
        <v>186</v>
      </c>
      <c r="B497" s="453" t="s">
        <v>5</v>
      </c>
      <c r="C497" s="453" t="s">
        <v>7</v>
      </c>
      <c r="D497" s="544" t="s">
        <v>112</v>
      </c>
      <c r="E497" s="473"/>
      <c r="F497" s="669">
        <f t="shared" ref="F497:F502" si="120">F498</f>
        <v>219</v>
      </c>
      <c r="G497" s="669"/>
      <c r="H497" s="669">
        <f t="shared" ref="H497:J497" si="121">H498</f>
        <v>0</v>
      </c>
      <c r="I497" s="669"/>
      <c r="J497" s="669">
        <f t="shared" si="121"/>
        <v>0</v>
      </c>
      <c r="K497" s="522"/>
      <c r="L497" s="521"/>
      <c r="N497" s="521"/>
      <c r="O497" s="521"/>
    </row>
    <row r="498" spans="1:15" s="519" customFormat="1" x14ac:dyDescent="0.25">
      <c r="A498" s="457" t="s">
        <v>189</v>
      </c>
      <c r="B498" s="453" t="s">
        <v>5</v>
      </c>
      <c r="C498" s="453" t="s">
        <v>7</v>
      </c>
      <c r="D498" s="542" t="s">
        <v>190</v>
      </c>
      <c r="E498" s="473"/>
      <c r="F498" s="669">
        <f t="shared" si="120"/>
        <v>219</v>
      </c>
      <c r="G498" s="669"/>
      <c r="H498" s="669">
        <f t="shared" ref="H498:H502" si="122">H499</f>
        <v>0</v>
      </c>
      <c r="I498" s="669"/>
      <c r="J498" s="669">
        <f t="shared" ref="J498" si="123">J499</f>
        <v>0</v>
      </c>
      <c r="K498" s="522"/>
      <c r="L498" s="521"/>
      <c r="N498" s="521"/>
      <c r="O498" s="521"/>
    </row>
    <row r="499" spans="1:15" s="519" customFormat="1" ht="31.5" x14ac:dyDescent="0.25">
      <c r="A499" s="451" t="s">
        <v>533</v>
      </c>
      <c r="B499" s="453" t="s">
        <v>5</v>
      </c>
      <c r="C499" s="453" t="s">
        <v>7</v>
      </c>
      <c r="D499" s="544" t="s">
        <v>534</v>
      </c>
      <c r="E499" s="473"/>
      <c r="F499" s="669">
        <f t="shared" si="120"/>
        <v>219</v>
      </c>
      <c r="G499" s="669"/>
      <c r="H499" s="669">
        <f t="shared" si="122"/>
        <v>0</v>
      </c>
      <c r="I499" s="669"/>
      <c r="J499" s="669">
        <f t="shared" ref="J499" si="124">J500</f>
        <v>0</v>
      </c>
      <c r="K499" s="522"/>
      <c r="L499" s="521"/>
      <c r="N499" s="521"/>
      <c r="O499" s="521"/>
    </row>
    <row r="500" spans="1:15" s="519" customFormat="1" ht="31.5" x14ac:dyDescent="0.25">
      <c r="A500" s="451" t="s">
        <v>533</v>
      </c>
      <c r="B500" s="453" t="s">
        <v>5</v>
      </c>
      <c r="C500" s="453" t="s">
        <v>7</v>
      </c>
      <c r="D500" s="544" t="s">
        <v>534</v>
      </c>
      <c r="E500" s="454"/>
      <c r="F500" s="669">
        <f t="shared" si="120"/>
        <v>219</v>
      </c>
      <c r="G500" s="669"/>
      <c r="H500" s="669">
        <f t="shared" si="122"/>
        <v>0</v>
      </c>
      <c r="I500" s="669"/>
      <c r="J500" s="669">
        <f t="shared" ref="J500" si="125">J501</f>
        <v>0</v>
      </c>
      <c r="K500" s="522"/>
      <c r="L500" s="521"/>
      <c r="N500" s="521"/>
      <c r="O500" s="521"/>
    </row>
    <row r="501" spans="1:15" s="519" customFormat="1" ht="78.75" x14ac:dyDescent="0.25">
      <c r="A501" s="451" t="s">
        <v>405</v>
      </c>
      <c r="B501" s="453" t="s">
        <v>5</v>
      </c>
      <c r="C501" s="453" t="s">
        <v>7</v>
      </c>
      <c r="D501" s="542" t="s">
        <v>535</v>
      </c>
      <c r="E501" s="454"/>
      <c r="F501" s="669">
        <f t="shared" si="120"/>
        <v>219</v>
      </c>
      <c r="G501" s="669"/>
      <c r="H501" s="669">
        <f t="shared" si="122"/>
        <v>0</v>
      </c>
      <c r="I501" s="669"/>
      <c r="J501" s="669">
        <f t="shared" ref="J501" si="126">J502</f>
        <v>0</v>
      </c>
      <c r="K501" s="522"/>
      <c r="L501" s="521"/>
      <c r="N501" s="521"/>
      <c r="O501" s="521"/>
    </row>
    <row r="502" spans="1:15" s="519" customFormat="1" x14ac:dyDescent="0.25">
      <c r="A502" s="451" t="s">
        <v>120</v>
      </c>
      <c r="B502" s="453" t="s">
        <v>5</v>
      </c>
      <c r="C502" s="453" t="s">
        <v>7</v>
      </c>
      <c r="D502" s="542" t="s">
        <v>535</v>
      </c>
      <c r="E502" s="454">
        <v>200</v>
      </c>
      <c r="F502" s="669">
        <f t="shared" si="120"/>
        <v>219</v>
      </c>
      <c r="G502" s="669"/>
      <c r="H502" s="669">
        <f t="shared" si="122"/>
        <v>0</v>
      </c>
      <c r="I502" s="669"/>
      <c r="J502" s="669">
        <f t="shared" ref="J502" si="127">J503</f>
        <v>0</v>
      </c>
      <c r="K502" s="522"/>
      <c r="L502" s="521"/>
      <c r="N502" s="521"/>
      <c r="O502" s="521"/>
    </row>
    <row r="503" spans="1:15" s="519" customFormat="1" ht="31.5" x14ac:dyDescent="0.25">
      <c r="A503" s="451" t="s">
        <v>52</v>
      </c>
      <c r="B503" s="453" t="s">
        <v>5</v>
      </c>
      <c r="C503" s="453" t="s">
        <v>7</v>
      </c>
      <c r="D503" s="542" t="s">
        <v>535</v>
      </c>
      <c r="E503" s="454">
        <v>240</v>
      </c>
      <c r="F503" s="669">
        <f>'ведом. 2025-2027'!AD325</f>
        <v>219</v>
      </c>
      <c r="G503" s="633"/>
      <c r="H503" s="643">
        <f>'ведом. 2025-2027'!AE325</f>
        <v>0</v>
      </c>
      <c r="I503" s="522"/>
      <c r="J503" s="522">
        <f>'ведом. 2025-2027'!AF325</f>
        <v>0</v>
      </c>
      <c r="K503" s="522"/>
      <c r="L503" s="521"/>
      <c r="N503" s="521"/>
      <c r="O503" s="521"/>
    </row>
    <row r="504" spans="1:15" s="138" customFormat="1" ht="31.5" x14ac:dyDescent="0.25">
      <c r="A504" s="255" t="s">
        <v>298</v>
      </c>
      <c r="B504" s="191" t="s">
        <v>5</v>
      </c>
      <c r="C504" s="4" t="s">
        <v>7</v>
      </c>
      <c r="D504" s="156" t="s">
        <v>132</v>
      </c>
      <c r="E504" s="328"/>
      <c r="F504" s="159">
        <f>F505</f>
        <v>1381</v>
      </c>
      <c r="G504" s="306"/>
      <c r="H504" s="522">
        <f>H505</f>
        <v>1365</v>
      </c>
      <c r="I504" s="522"/>
      <c r="J504" s="522">
        <f>J505</f>
        <v>0</v>
      </c>
      <c r="K504" s="522"/>
      <c r="L504" s="154"/>
      <c r="N504" s="154"/>
      <c r="O504" s="154"/>
    </row>
    <row r="505" spans="1:15" s="138" customFormat="1" ht="47.25" x14ac:dyDescent="0.25">
      <c r="A505" s="255" t="s">
        <v>299</v>
      </c>
      <c r="B505" s="191" t="s">
        <v>5</v>
      </c>
      <c r="C505" s="4" t="s">
        <v>7</v>
      </c>
      <c r="D505" s="156" t="s">
        <v>300</v>
      </c>
      <c r="E505" s="326"/>
      <c r="F505" s="159">
        <f>F506</f>
        <v>1381</v>
      </c>
      <c r="G505" s="306"/>
      <c r="H505" s="522">
        <f>H506</f>
        <v>1365</v>
      </c>
      <c r="I505" s="522"/>
      <c r="J505" s="522">
        <f>J506</f>
        <v>0</v>
      </c>
      <c r="K505" s="522"/>
      <c r="L505" s="154"/>
      <c r="N505" s="154"/>
      <c r="O505" s="154"/>
    </row>
    <row r="506" spans="1:15" s="138" customFormat="1" ht="31.5" x14ac:dyDescent="0.25">
      <c r="A506" s="278" t="s">
        <v>304</v>
      </c>
      <c r="B506" s="191" t="s">
        <v>5</v>
      </c>
      <c r="C506" s="4" t="s">
        <v>7</v>
      </c>
      <c r="D506" s="156" t="s">
        <v>305</v>
      </c>
      <c r="E506" s="326"/>
      <c r="F506" s="159">
        <f>F507</f>
        <v>1381</v>
      </c>
      <c r="G506" s="306"/>
      <c r="H506" s="522">
        <f>H507</f>
        <v>1365</v>
      </c>
      <c r="I506" s="522"/>
      <c r="J506" s="522">
        <f>J507</f>
        <v>0</v>
      </c>
      <c r="K506" s="522"/>
      <c r="L506" s="154"/>
      <c r="N506" s="154"/>
      <c r="O506" s="154"/>
    </row>
    <row r="507" spans="1:15" s="138" customFormat="1" ht="47.25" x14ac:dyDescent="0.25">
      <c r="A507" s="272" t="s">
        <v>351</v>
      </c>
      <c r="B507" s="191" t="s">
        <v>5</v>
      </c>
      <c r="C507" s="4" t="s">
        <v>7</v>
      </c>
      <c r="D507" s="156" t="s">
        <v>306</v>
      </c>
      <c r="E507" s="326"/>
      <c r="F507" s="159">
        <f>F508</f>
        <v>1381</v>
      </c>
      <c r="G507" s="306"/>
      <c r="H507" s="522">
        <f>H508</f>
        <v>1365</v>
      </c>
      <c r="I507" s="522"/>
      <c r="J507" s="522">
        <f>J508</f>
        <v>0</v>
      </c>
      <c r="K507" s="522"/>
      <c r="L507" s="154"/>
      <c r="N507" s="154"/>
      <c r="O507" s="154"/>
    </row>
    <row r="508" spans="1:15" s="138" customFormat="1" x14ac:dyDescent="0.25">
      <c r="A508" s="375" t="s">
        <v>120</v>
      </c>
      <c r="B508" s="191" t="s">
        <v>5</v>
      </c>
      <c r="C508" s="4" t="s">
        <v>7</v>
      </c>
      <c r="D508" s="156" t="s">
        <v>306</v>
      </c>
      <c r="E508" s="326">
        <v>200</v>
      </c>
      <c r="F508" s="159">
        <f>F509</f>
        <v>1381</v>
      </c>
      <c r="G508" s="306"/>
      <c r="H508" s="522">
        <f>H509</f>
        <v>1365</v>
      </c>
      <c r="I508" s="522"/>
      <c r="J508" s="522">
        <f>J509</f>
        <v>0</v>
      </c>
      <c r="K508" s="522"/>
      <c r="L508" s="154"/>
      <c r="N508" s="154"/>
      <c r="O508" s="154"/>
    </row>
    <row r="509" spans="1:15" s="138" customFormat="1" ht="31.5" x14ac:dyDescent="0.25">
      <c r="A509" s="375" t="s">
        <v>52</v>
      </c>
      <c r="B509" s="191" t="s">
        <v>5</v>
      </c>
      <c r="C509" s="4" t="s">
        <v>7</v>
      </c>
      <c r="D509" s="156" t="s">
        <v>306</v>
      </c>
      <c r="E509" s="326">
        <v>240</v>
      </c>
      <c r="F509" s="159">
        <f>'ведом. 2025-2027'!AD331</f>
        <v>1381</v>
      </c>
      <c r="G509" s="306"/>
      <c r="H509" s="522">
        <f>'ведом. 2025-2027'!AE331</f>
        <v>1365</v>
      </c>
      <c r="I509" s="522"/>
      <c r="J509" s="522">
        <f>'ведом. 2025-2027'!AF331</f>
        <v>0</v>
      </c>
      <c r="K509" s="522"/>
      <c r="L509" s="154"/>
      <c r="N509" s="154"/>
      <c r="O509" s="154"/>
    </row>
    <row r="510" spans="1:15" s="177" customFormat="1" x14ac:dyDescent="0.25">
      <c r="A510" s="271" t="s">
        <v>249</v>
      </c>
      <c r="B510" s="191" t="s">
        <v>5</v>
      </c>
      <c r="C510" s="4" t="s">
        <v>7</v>
      </c>
      <c r="D510" s="156" t="s">
        <v>250</v>
      </c>
      <c r="E510" s="405"/>
      <c r="F510" s="159">
        <f>F511</f>
        <v>1510</v>
      </c>
      <c r="G510" s="159"/>
      <c r="H510" s="522">
        <f t="shared" ref="H510:J514" si="128">H511</f>
        <v>210</v>
      </c>
      <c r="I510" s="522"/>
      <c r="J510" s="522">
        <f t="shared" si="128"/>
        <v>0</v>
      </c>
      <c r="K510" s="522"/>
      <c r="L510" s="154"/>
      <c r="N510" s="154"/>
      <c r="O510" s="154"/>
    </row>
    <row r="511" spans="1:15" s="177" customFormat="1" ht="24" customHeight="1" x14ac:dyDescent="0.25">
      <c r="A511" s="271" t="s">
        <v>774</v>
      </c>
      <c r="B511" s="191" t="s">
        <v>5</v>
      </c>
      <c r="C511" s="4" t="s">
        <v>7</v>
      </c>
      <c r="D511" s="156" t="s">
        <v>251</v>
      </c>
      <c r="E511" s="404"/>
      <c r="F511" s="159">
        <f>F512</f>
        <v>1510</v>
      </c>
      <c r="G511" s="159"/>
      <c r="H511" s="522">
        <f t="shared" si="128"/>
        <v>210</v>
      </c>
      <c r="I511" s="522"/>
      <c r="J511" s="522">
        <f t="shared" si="128"/>
        <v>0</v>
      </c>
      <c r="K511" s="522"/>
      <c r="L511" s="154"/>
      <c r="N511" s="154"/>
      <c r="O511" s="154"/>
    </row>
    <row r="512" spans="1:15" s="177" customFormat="1" ht="38.25" customHeight="1" x14ac:dyDescent="0.25">
      <c r="A512" s="271" t="s">
        <v>787</v>
      </c>
      <c r="B512" s="191" t="s">
        <v>5</v>
      </c>
      <c r="C512" s="4" t="s">
        <v>7</v>
      </c>
      <c r="D512" s="156" t="s">
        <v>617</v>
      </c>
      <c r="E512" s="311"/>
      <c r="F512" s="159">
        <f>F513</f>
        <v>1510</v>
      </c>
      <c r="G512" s="159"/>
      <c r="H512" s="522">
        <f t="shared" si="128"/>
        <v>210</v>
      </c>
      <c r="I512" s="522"/>
      <c r="J512" s="522">
        <f t="shared" si="128"/>
        <v>0</v>
      </c>
      <c r="K512" s="522"/>
      <c r="L512" s="154"/>
      <c r="N512" s="154"/>
      <c r="O512" s="154"/>
    </row>
    <row r="513" spans="1:15" s="177" customFormat="1" ht="31.5" x14ac:dyDescent="0.25">
      <c r="A513" s="255" t="s">
        <v>619</v>
      </c>
      <c r="B513" s="191" t="s">
        <v>5</v>
      </c>
      <c r="C513" s="4" t="s">
        <v>7</v>
      </c>
      <c r="D513" s="156" t="s">
        <v>618</v>
      </c>
      <c r="E513" s="311"/>
      <c r="F513" s="159">
        <f>F514</f>
        <v>1510</v>
      </c>
      <c r="G513" s="159"/>
      <c r="H513" s="522">
        <f t="shared" si="128"/>
        <v>210</v>
      </c>
      <c r="I513" s="522"/>
      <c r="J513" s="522">
        <f t="shared" si="128"/>
        <v>0</v>
      </c>
      <c r="K513" s="522"/>
      <c r="L513" s="154"/>
      <c r="N513" s="154"/>
      <c r="O513" s="154"/>
    </row>
    <row r="514" spans="1:15" s="177" customFormat="1" x14ac:dyDescent="0.25">
      <c r="A514" s="273" t="s">
        <v>120</v>
      </c>
      <c r="B514" s="191" t="s">
        <v>5</v>
      </c>
      <c r="C514" s="4" t="s">
        <v>7</v>
      </c>
      <c r="D514" s="156" t="s">
        <v>618</v>
      </c>
      <c r="E514" s="311">
        <v>200</v>
      </c>
      <c r="F514" s="159">
        <f>F515</f>
        <v>1510</v>
      </c>
      <c r="G514" s="159"/>
      <c r="H514" s="522">
        <f t="shared" si="128"/>
        <v>210</v>
      </c>
      <c r="I514" s="522"/>
      <c r="J514" s="522">
        <f t="shared" si="128"/>
        <v>0</v>
      </c>
      <c r="K514" s="522"/>
      <c r="L514" s="154"/>
      <c r="N514" s="154"/>
      <c r="O514" s="154"/>
    </row>
    <row r="515" spans="1:15" s="177" customFormat="1" ht="31.5" x14ac:dyDescent="0.25">
      <c r="A515" s="273" t="s">
        <v>52</v>
      </c>
      <c r="B515" s="191" t="s">
        <v>5</v>
      </c>
      <c r="C515" s="4" t="s">
        <v>7</v>
      </c>
      <c r="D515" s="156" t="s">
        <v>618</v>
      </c>
      <c r="E515" s="311">
        <v>240</v>
      </c>
      <c r="F515" s="159">
        <f>'ведом. 2025-2027'!AD337</f>
        <v>1510</v>
      </c>
      <c r="G515" s="159"/>
      <c r="H515" s="522">
        <f>'ведом. 2025-2027'!AE337</f>
        <v>210</v>
      </c>
      <c r="I515" s="522"/>
      <c r="J515" s="522">
        <f>'ведом. 2025-2027'!AF337</f>
        <v>0</v>
      </c>
      <c r="K515" s="522"/>
      <c r="L515" s="154"/>
      <c r="N515" s="154"/>
      <c r="O515" s="154"/>
    </row>
    <row r="516" spans="1:15" s="138" customFormat="1" x14ac:dyDescent="0.25">
      <c r="A516" s="255" t="s">
        <v>242</v>
      </c>
      <c r="B516" s="191" t="s">
        <v>5</v>
      </c>
      <c r="C516" s="4" t="s">
        <v>7</v>
      </c>
      <c r="D516" s="156" t="s">
        <v>243</v>
      </c>
      <c r="E516" s="328"/>
      <c r="F516" s="160">
        <f t="shared" ref="F516:K516" si="129">F517+F543</f>
        <v>875381.70000000007</v>
      </c>
      <c r="G516" s="160">
        <f t="shared" si="129"/>
        <v>309917.2</v>
      </c>
      <c r="H516" s="160">
        <f t="shared" si="129"/>
        <v>407658.4</v>
      </c>
      <c r="I516" s="160">
        <f t="shared" si="129"/>
        <v>13931.9</v>
      </c>
      <c r="J516" s="160">
        <f t="shared" si="129"/>
        <v>686700.2</v>
      </c>
      <c r="K516" s="160">
        <f t="shared" si="129"/>
        <v>199026.8</v>
      </c>
      <c r="L516" s="154"/>
      <c r="N516" s="154"/>
      <c r="O516" s="154"/>
    </row>
    <row r="517" spans="1:15" s="177" customFormat="1" x14ac:dyDescent="0.25">
      <c r="A517" s="259" t="s">
        <v>369</v>
      </c>
      <c r="B517" s="191" t="s">
        <v>5</v>
      </c>
      <c r="C517" s="4" t="s">
        <v>7</v>
      </c>
      <c r="D517" s="156" t="s">
        <v>370</v>
      </c>
      <c r="E517" s="328"/>
      <c r="F517" s="160">
        <f>F533+F518</f>
        <v>450449.80000000005</v>
      </c>
      <c r="G517" s="348">
        <f t="shared" ref="G517:K517" si="130">G533+G518</f>
        <v>309917.2</v>
      </c>
      <c r="H517" s="160">
        <f t="shared" si="130"/>
        <v>16969.400000000001</v>
      </c>
      <c r="I517" s="160">
        <f t="shared" si="130"/>
        <v>13931.9</v>
      </c>
      <c r="J517" s="160">
        <f t="shared" si="130"/>
        <v>242420</v>
      </c>
      <c r="K517" s="160">
        <f t="shared" si="130"/>
        <v>199026.8</v>
      </c>
      <c r="L517" s="154"/>
      <c r="N517" s="154"/>
      <c r="O517" s="154"/>
    </row>
    <row r="518" spans="1:15" s="177" customFormat="1" ht="31.5" x14ac:dyDescent="0.25">
      <c r="A518" s="259" t="s">
        <v>393</v>
      </c>
      <c r="B518" s="191" t="s">
        <v>5</v>
      </c>
      <c r="C518" s="4" t="s">
        <v>7</v>
      </c>
      <c r="D518" s="156" t="s">
        <v>394</v>
      </c>
      <c r="E518" s="328"/>
      <c r="F518" s="160">
        <f>F528+F525+F519+F522</f>
        <v>277992.7</v>
      </c>
      <c r="G518" s="160">
        <f t="shared" ref="G518:J518" si="131">G528+G525+G519+G522</f>
        <v>193273.60000000001</v>
      </c>
      <c r="H518" s="160">
        <f t="shared" si="131"/>
        <v>0</v>
      </c>
      <c r="I518" s="160"/>
      <c r="J518" s="160">
        <f t="shared" si="131"/>
        <v>0</v>
      </c>
      <c r="K518" s="160"/>
      <c r="L518" s="154"/>
      <c r="N518" s="154"/>
      <c r="O518" s="154"/>
    </row>
    <row r="519" spans="1:15" s="519" customFormat="1" ht="31.5" x14ac:dyDescent="0.25">
      <c r="A519" s="457" t="s">
        <v>808</v>
      </c>
      <c r="B519" s="453" t="s">
        <v>5</v>
      </c>
      <c r="C519" s="453" t="s">
        <v>7</v>
      </c>
      <c r="D519" s="542" t="s">
        <v>809</v>
      </c>
      <c r="E519" s="473"/>
      <c r="F519" s="160">
        <f>F520</f>
        <v>487</v>
      </c>
      <c r="G519" s="160"/>
      <c r="H519" s="160">
        <f t="shared" ref="H519:J520" si="132">H520</f>
        <v>0</v>
      </c>
      <c r="I519" s="160"/>
      <c r="J519" s="160">
        <f t="shared" si="132"/>
        <v>0</v>
      </c>
      <c r="K519" s="160"/>
      <c r="L519" s="521"/>
      <c r="N519" s="521"/>
      <c r="O519" s="521"/>
    </row>
    <row r="520" spans="1:15" s="519" customFormat="1" x14ac:dyDescent="0.25">
      <c r="A520" s="451" t="s">
        <v>120</v>
      </c>
      <c r="B520" s="453" t="s">
        <v>5</v>
      </c>
      <c r="C520" s="453" t="s">
        <v>7</v>
      </c>
      <c r="D520" s="542" t="s">
        <v>809</v>
      </c>
      <c r="E520" s="473" t="s">
        <v>37</v>
      </c>
      <c r="F520" s="160">
        <f>F521</f>
        <v>487</v>
      </c>
      <c r="G520" s="160"/>
      <c r="H520" s="160">
        <f t="shared" si="132"/>
        <v>0</v>
      </c>
      <c r="I520" s="160"/>
      <c r="J520" s="160">
        <f t="shared" si="132"/>
        <v>0</v>
      </c>
      <c r="K520" s="160"/>
      <c r="L520" s="521"/>
      <c r="N520" s="521"/>
      <c r="O520" s="521"/>
    </row>
    <row r="521" spans="1:15" s="519" customFormat="1" ht="31.5" x14ac:dyDescent="0.25">
      <c r="A521" s="451" t="s">
        <v>52</v>
      </c>
      <c r="B521" s="453" t="s">
        <v>5</v>
      </c>
      <c r="C521" s="453" t="s">
        <v>7</v>
      </c>
      <c r="D521" s="542" t="s">
        <v>809</v>
      </c>
      <c r="E521" s="473" t="s">
        <v>65</v>
      </c>
      <c r="F521" s="160">
        <f>'ведом. 2025-2027'!AD977</f>
        <v>487</v>
      </c>
      <c r="G521" s="160"/>
      <c r="H521" s="160">
        <f>'ведом. 2025-2027'!AE977</f>
        <v>0</v>
      </c>
      <c r="I521" s="160"/>
      <c r="J521" s="160">
        <f>'ведом. 2025-2027'!AF977</f>
        <v>0</v>
      </c>
      <c r="K521" s="160"/>
      <c r="L521" s="521"/>
      <c r="N521" s="521"/>
      <c r="O521" s="521"/>
    </row>
    <row r="522" spans="1:15" s="519" customFormat="1" x14ac:dyDescent="0.25">
      <c r="A522" s="451" t="s">
        <v>829</v>
      </c>
      <c r="B522" s="453" t="s">
        <v>5</v>
      </c>
      <c r="C522" s="453" t="s">
        <v>7</v>
      </c>
      <c r="D522" s="542" t="s">
        <v>830</v>
      </c>
      <c r="E522" s="454"/>
      <c r="F522" s="160">
        <f>F523</f>
        <v>14734.3</v>
      </c>
      <c r="G522" s="160"/>
      <c r="H522" s="160">
        <f t="shared" ref="H522:J523" si="133">H523</f>
        <v>0</v>
      </c>
      <c r="I522" s="160"/>
      <c r="J522" s="160">
        <f t="shared" si="133"/>
        <v>0</v>
      </c>
      <c r="K522" s="160"/>
      <c r="L522" s="521"/>
      <c r="N522" s="521"/>
      <c r="O522" s="521"/>
    </row>
    <row r="523" spans="1:15" s="519" customFormat="1" x14ac:dyDescent="0.25">
      <c r="A523" s="451" t="s">
        <v>120</v>
      </c>
      <c r="B523" s="453" t="s">
        <v>5</v>
      </c>
      <c r="C523" s="453" t="s">
        <v>7</v>
      </c>
      <c r="D523" s="542" t="s">
        <v>830</v>
      </c>
      <c r="E523" s="482">
        <v>200</v>
      </c>
      <c r="F523" s="160">
        <f>F524</f>
        <v>14734.3</v>
      </c>
      <c r="G523" s="160"/>
      <c r="H523" s="160">
        <f t="shared" si="133"/>
        <v>0</v>
      </c>
      <c r="I523" s="160"/>
      <c r="J523" s="160">
        <f t="shared" si="133"/>
        <v>0</v>
      </c>
      <c r="K523" s="160"/>
      <c r="L523" s="521"/>
      <c r="N523" s="521"/>
      <c r="O523" s="521"/>
    </row>
    <row r="524" spans="1:15" s="519" customFormat="1" ht="31.5" x14ac:dyDescent="0.25">
      <c r="A524" s="451" t="s">
        <v>52</v>
      </c>
      <c r="B524" s="453" t="s">
        <v>5</v>
      </c>
      <c r="C524" s="453" t="s">
        <v>7</v>
      </c>
      <c r="D524" s="542" t="s">
        <v>830</v>
      </c>
      <c r="E524" s="454">
        <v>240</v>
      </c>
      <c r="F524" s="160">
        <f>'ведом. 2025-2027'!AD980</f>
        <v>14734.3</v>
      </c>
      <c r="G524" s="160"/>
      <c r="H524" s="160">
        <f>'ведом. 2025-2027'!AE980</f>
        <v>0</v>
      </c>
      <c r="I524" s="160"/>
      <c r="J524" s="160">
        <f>'ведом. 2025-2027'!AF980</f>
        <v>0</v>
      </c>
      <c r="K524" s="160"/>
      <c r="L524" s="521"/>
      <c r="N524" s="521"/>
      <c r="O524" s="521"/>
    </row>
    <row r="525" spans="1:15" s="519" customFormat="1" x14ac:dyDescent="0.25">
      <c r="A525" s="479" t="s">
        <v>753</v>
      </c>
      <c r="B525" s="453" t="s">
        <v>5</v>
      </c>
      <c r="C525" s="453" t="s">
        <v>7</v>
      </c>
      <c r="D525" s="542" t="s">
        <v>754</v>
      </c>
      <c r="E525" s="473"/>
      <c r="F525" s="160">
        <f>F526</f>
        <v>30471.4</v>
      </c>
      <c r="G525" s="160"/>
      <c r="H525" s="160">
        <f t="shared" ref="H525:J525" si="134">H526</f>
        <v>0</v>
      </c>
      <c r="I525" s="160"/>
      <c r="J525" s="160">
        <f t="shared" si="134"/>
        <v>0</v>
      </c>
      <c r="K525" s="160"/>
      <c r="L525" s="521"/>
      <c r="N525" s="521"/>
      <c r="O525" s="521"/>
    </row>
    <row r="526" spans="1:15" s="519" customFormat="1" x14ac:dyDescent="0.25">
      <c r="A526" s="479" t="s">
        <v>120</v>
      </c>
      <c r="B526" s="453" t="s">
        <v>5</v>
      </c>
      <c r="C526" s="453" t="s">
        <v>7</v>
      </c>
      <c r="D526" s="542" t="s">
        <v>754</v>
      </c>
      <c r="E526" s="473" t="s">
        <v>37</v>
      </c>
      <c r="F526" s="160">
        <f>F527</f>
        <v>30471.4</v>
      </c>
      <c r="G526" s="160"/>
      <c r="H526" s="160">
        <f t="shared" ref="H526:J526" si="135">H527</f>
        <v>0</v>
      </c>
      <c r="I526" s="160"/>
      <c r="J526" s="160">
        <f t="shared" si="135"/>
        <v>0</v>
      </c>
      <c r="K526" s="160"/>
      <c r="L526" s="521"/>
      <c r="N526" s="521"/>
      <c r="O526" s="521"/>
    </row>
    <row r="527" spans="1:15" s="519" customFormat="1" ht="21" customHeight="1" x14ac:dyDescent="0.25">
      <c r="A527" s="479" t="s">
        <v>52</v>
      </c>
      <c r="B527" s="453" t="s">
        <v>5</v>
      </c>
      <c r="C527" s="453" t="s">
        <v>7</v>
      </c>
      <c r="D527" s="542" t="s">
        <v>754</v>
      </c>
      <c r="E527" s="473" t="s">
        <v>65</v>
      </c>
      <c r="F527" s="160">
        <f>'ведом. 2025-2027'!AD983</f>
        <v>30471.4</v>
      </c>
      <c r="G527" s="348"/>
      <c r="H527" s="160">
        <f>'ведом. 2025-2027'!AE983</f>
        <v>0</v>
      </c>
      <c r="I527" s="160"/>
      <c r="J527" s="160">
        <f>'ведом. 2025-2027'!AF983</f>
        <v>0</v>
      </c>
      <c r="K527" s="160"/>
      <c r="L527" s="521"/>
      <c r="N527" s="521"/>
      <c r="O527" s="521"/>
    </row>
    <row r="528" spans="1:15" s="177" customFormat="1" x14ac:dyDescent="0.25">
      <c r="A528" s="253" t="s">
        <v>396</v>
      </c>
      <c r="B528" s="191" t="s">
        <v>5</v>
      </c>
      <c r="C528" s="4" t="s">
        <v>7</v>
      </c>
      <c r="D528" s="156" t="s">
        <v>397</v>
      </c>
      <c r="E528" s="328"/>
      <c r="F528" s="160">
        <f>F529+F531</f>
        <v>232300</v>
      </c>
      <c r="G528" s="348">
        <f>G529+G531</f>
        <v>193273.60000000001</v>
      </c>
      <c r="H528" s="160">
        <f t="shared" ref="F528:H529" si="136">H529</f>
        <v>0</v>
      </c>
      <c r="I528" s="160"/>
      <c r="J528" s="160">
        <f>J529</f>
        <v>0</v>
      </c>
      <c r="K528" s="160"/>
      <c r="L528" s="154"/>
      <c r="N528" s="154"/>
      <c r="O528" s="154"/>
    </row>
    <row r="529" spans="1:15" s="177" customFormat="1" x14ac:dyDescent="0.25">
      <c r="A529" s="253" t="s">
        <v>120</v>
      </c>
      <c r="B529" s="191" t="s">
        <v>5</v>
      </c>
      <c r="C529" s="4" t="s">
        <v>7</v>
      </c>
      <c r="D529" s="156" t="s">
        <v>397</v>
      </c>
      <c r="E529" s="328" t="s">
        <v>37</v>
      </c>
      <c r="F529" s="160">
        <f t="shared" si="136"/>
        <v>205026.5</v>
      </c>
      <c r="G529" s="348">
        <f t="shared" si="136"/>
        <v>170582.1</v>
      </c>
      <c r="H529" s="160">
        <f t="shared" si="136"/>
        <v>0</v>
      </c>
      <c r="I529" s="160"/>
      <c r="J529" s="160">
        <f>J530</f>
        <v>0</v>
      </c>
      <c r="K529" s="160"/>
      <c r="L529" s="154"/>
      <c r="N529" s="154"/>
      <c r="O529" s="154"/>
    </row>
    <row r="530" spans="1:15" s="177" customFormat="1" ht="31.5" x14ac:dyDescent="0.25">
      <c r="A530" s="253" t="s">
        <v>52</v>
      </c>
      <c r="B530" s="191" t="s">
        <v>5</v>
      </c>
      <c r="C530" s="4" t="s">
        <v>7</v>
      </c>
      <c r="D530" s="156" t="s">
        <v>397</v>
      </c>
      <c r="E530" s="328" t="s">
        <v>65</v>
      </c>
      <c r="F530" s="160">
        <f>'ведом. 2025-2027'!AD986</f>
        <v>205026.5</v>
      </c>
      <c r="G530" s="348">
        <f>193273.6-682.8-22008.7</f>
        <v>170582.1</v>
      </c>
      <c r="H530" s="160">
        <f>'ведом. 2025-2027'!AE986</f>
        <v>0</v>
      </c>
      <c r="I530" s="160"/>
      <c r="J530" s="160">
        <f>'ведом. 2025-2027'!AF986</f>
        <v>0</v>
      </c>
      <c r="K530" s="160"/>
      <c r="L530" s="154"/>
      <c r="N530" s="154"/>
      <c r="O530" s="154"/>
    </row>
    <row r="531" spans="1:15" s="519" customFormat="1" ht="31.5" x14ac:dyDescent="0.25">
      <c r="A531" s="451" t="s">
        <v>60</v>
      </c>
      <c r="B531" s="191" t="s">
        <v>5</v>
      </c>
      <c r="C531" s="516" t="s">
        <v>7</v>
      </c>
      <c r="D531" s="156" t="s">
        <v>397</v>
      </c>
      <c r="E531" s="328" t="s">
        <v>386</v>
      </c>
      <c r="F531" s="160">
        <f>F532</f>
        <v>27273.500000000004</v>
      </c>
      <c r="G531" s="160">
        <f t="shared" ref="G531:J531" si="137">G532</f>
        <v>22691.5</v>
      </c>
      <c r="H531" s="160">
        <f t="shared" si="137"/>
        <v>0</v>
      </c>
      <c r="I531" s="160"/>
      <c r="J531" s="160">
        <f t="shared" si="137"/>
        <v>0</v>
      </c>
      <c r="K531" s="160"/>
      <c r="L531" s="521"/>
      <c r="N531" s="521"/>
      <c r="O531" s="521"/>
    </row>
    <row r="532" spans="1:15" s="519" customFormat="1" x14ac:dyDescent="0.25">
      <c r="A532" s="451" t="s">
        <v>61</v>
      </c>
      <c r="B532" s="191" t="s">
        <v>5</v>
      </c>
      <c r="C532" s="516" t="s">
        <v>7</v>
      </c>
      <c r="D532" s="156" t="s">
        <v>397</v>
      </c>
      <c r="E532" s="328" t="s">
        <v>387</v>
      </c>
      <c r="F532" s="160">
        <f>'ведом. 2025-2027'!AD343</f>
        <v>27273.500000000004</v>
      </c>
      <c r="G532" s="348">
        <f>22008.7+682.8</f>
        <v>22691.5</v>
      </c>
      <c r="H532" s="160"/>
      <c r="I532" s="160"/>
      <c r="J532" s="160"/>
      <c r="K532" s="160"/>
      <c r="L532" s="521"/>
      <c r="N532" s="521"/>
      <c r="O532" s="521"/>
    </row>
    <row r="533" spans="1:15" s="177" customFormat="1" x14ac:dyDescent="0.25">
      <c r="A533" s="257" t="s">
        <v>649</v>
      </c>
      <c r="B533" s="191" t="s">
        <v>5</v>
      </c>
      <c r="C533" s="4" t="s">
        <v>7</v>
      </c>
      <c r="D533" s="291" t="s">
        <v>650</v>
      </c>
      <c r="E533" s="328"/>
      <c r="F533" s="160">
        <f>F537+F540+F534</f>
        <v>172457.1</v>
      </c>
      <c r="G533" s="160">
        <f t="shared" ref="G533:K533" si="138">G537+G540+G534</f>
        <v>116643.59999999999</v>
      </c>
      <c r="H533" s="160">
        <f t="shared" si="138"/>
        <v>16969.400000000001</v>
      </c>
      <c r="I533" s="160">
        <f t="shared" si="138"/>
        <v>13931.9</v>
      </c>
      <c r="J533" s="160">
        <f t="shared" si="138"/>
        <v>242420</v>
      </c>
      <c r="K533" s="160">
        <f t="shared" si="138"/>
        <v>199026.8</v>
      </c>
      <c r="L533" s="154"/>
      <c r="N533" s="154"/>
      <c r="O533" s="154"/>
    </row>
    <row r="534" spans="1:15" s="519" customFormat="1" ht="63" x14ac:dyDescent="0.25">
      <c r="A534" s="466" t="s">
        <v>789</v>
      </c>
      <c r="B534" s="453" t="s">
        <v>5</v>
      </c>
      <c r="C534" s="453" t="s">
        <v>7</v>
      </c>
      <c r="D534" s="409" t="s">
        <v>790</v>
      </c>
      <c r="E534" s="473"/>
      <c r="F534" s="160">
        <f>F535</f>
        <v>30382</v>
      </c>
      <c r="G534" s="160"/>
      <c r="H534" s="160">
        <f t="shared" ref="H534:J535" si="139">H535</f>
        <v>0</v>
      </c>
      <c r="I534" s="160"/>
      <c r="J534" s="160">
        <f t="shared" si="139"/>
        <v>0</v>
      </c>
      <c r="K534" s="160"/>
      <c r="L534" s="521"/>
      <c r="N534" s="521"/>
      <c r="O534" s="521"/>
    </row>
    <row r="535" spans="1:15" s="519" customFormat="1" x14ac:dyDescent="0.25">
      <c r="A535" s="451" t="s">
        <v>120</v>
      </c>
      <c r="B535" s="453" t="s">
        <v>5</v>
      </c>
      <c r="C535" s="453" t="s">
        <v>7</v>
      </c>
      <c r="D535" s="409" t="s">
        <v>790</v>
      </c>
      <c r="E535" s="473" t="s">
        <v>37</v>
      </c>
      <c r="F535" s="160">
        <f>F536</f>
        <v>30382</v>
      </c>
      <c r="G535" s="160"/>
      <c r="H535" s="160">
        <f t="shared" si="139"/>
        <v>0</v>
      </c>
      <c r="I535" s="160"/>
      <c r="J535" s="160">
        <f t="shared" si="139"/>
        <v>0</v>
      </c>
      <c r="K535" s="160"/>
      <c r="L535" s="521"/>
      <c r="N535" s="521"/>
      <c r="O535" s="521"/>
    </row>
    <row r="536" spans="1:15" s="519" customFormat="1" ht="31.5" x14ac:dyDescent="0.25">
      <c r="A536" s="451" t="s">
        <v>52</v>
      </c>
      <c r="B536" s="453" t="s">
        <v>5</v>
      </c>
      <c r="C536" s="453" t="s">
        <v>7</v>
      </c>
      <c r="D536" s="409" t="s">
        <v>790</v>
      </c>
      <c r="E536" s="473" t="s">
        <v>65</v>
      </c>
      <c r="F536" s="160">
        <f>'ведом. 2025-2027'!AD990</f>
        <v>30382</v>
      </c>
      <c r="G536" s="348"/>
      <c r="H536" s="160">
        <f>'ведом. 2025-2027'!AE990</f>
        <v>0</v>
      </c>
      <c r="I536" s="160"/>
      <c r="J536" s="160">
        <f>'ведом. 2025-2027'!AF990</f>
        <v>0</v>
      </c>
      <c r="K536" s="160"/>
      <c r="L536" s="521"/>
      <c r="N536" s="521"/>
      <c r="O536" s="521"/>
    </row>
    <row r="537" spans="1:15" s="177" customFormat="1" ht="47.25" x14ac:dyDescent="0.25">
      <c r="A537" s="523" t="s">
        <v>648</v>
      </c>
      <c r="B537" s="191" t="s">
        <v>5</v>
      </c>
      <c r="C537" s="4" t="s">
        <v>7</v>
      </c>
      <c r="D537" s="291" t="s">
        <v>651</v>
      </c>
      <c r="E537" s="328"/>
      <c r="F537" s="160">
        <f t="shared" ref="F537:H538" si="140">F538</f>
        <v>142075.1</v>
      </c>
      <c r="G537" s="348">
        <f>G538</f>
        <v>116643.59999999999</v>
      </c>
      <c r="H537" s="160">
        <f t="shared" si="140"/>
        <v>0</v>
      </c>
      <c r="I537" s="160"/>
      <c r="J537" s="160">
        <f>J538</f>
        <v>0</v>
      </c>
      <c r="K537" s="160"/>
      <c r="L537" s="154"/>
      <c r="N537" s="154"/>
      <c r="O537" s="154"/>
    </row>
    <row r="538" spans="1:15" s="177" customFormat="1" x14ac:dyDescent="0.25">
      <c r="A538" s="253" t="s">
        <v>120</v>
      </c>
      <c r="B538" s="191" t="s">
        <v>5</v>
      </c>
      <c r="C538" s="4" t="s">
        <v>7</v>
      </c>
      <c r="D538" s="291" t="s">
        <v>651</v>
      </c>
      <c r="E538" s="328" t="s">
        <v>37</v>
      </c>
      <c r="F538" s="160">
        <f t="shared" si="140"/>
        <v>142075.1</v>
      </c>
      <c r="G538" s="348">
        <f>G539</f>
        <v>116643.59999999999</v>
      </c>
      <c r="H538" s="160">
        <f t="shared" si="140"/>
        <v>0</v>
      </c>
      <c r="I538" s="160"/>
      <c r="J538" s="160">
        <f>J539</f>
        <v>0</v>
      </c>
      <c r="K538" s="160"/>
      <c r="L538" s="154"/>
      <c r="N538" s="154"/>
      <c r="O538" s="154"/>
    </row>
    <row r="539" spans="1:15" s="177" customFormat="1" ht="31.5" x14ac:dyDescent="0.25">
      <c r="A539" s="253" t="s">
        <v>52</v>
      </c>
      <c r="B539" s="191" t="s">
        <v>5</v>
      </c>
      <c r="C539" s="4" t="s">
        <v>7</v>
      </c>
      <c r="D539" s="291" t="s">
        <v>651</v>
      </c>
      <c r="E539" s="328" t="s">
        <v>65</v>
      </c>
      <c r="F539" s="160">
        <f>'ведом. 2025-2027'!AD993</f>
        <v>142075.1</v>
      </c>
      <c r="G539" s="348">
        <f>92572.4+24071.2</f>
        <v>116643.59999999999</v>
      </c>
      <c r="H539" s="160">
        <f>'ведом. 2025-2027'!AE993</f>
        <v>0</v>
      </c>
      <c r="I539" s="160"/>
      <c r="J539" s="160">
        <f>'ведом. 2025-2027'!AF993</f>
        <v>0</v>
      </c>
      <c r="K539" s="160"/>
      <c r="L539" s="154"/>
      <c r="N539" s="154"/>
      <c r="O539" s="154"/>
    </row>
    <row r="540" spans="1:15" s="519" customFormat="1" ht="31.5" x14ac:dyDescent="0.25">
      <c r="A540" s="451" t="s">
        <v>621</v>
      </c>
      <c r="B540" s="453" t="s">
        <v>5</v>
      </c>
      <c r="C540" s="454" t="s">
        <v>7</v>
      </c>
      <c r="D540" s="291" t="s">
        <v>654</v>
      </c>
      <c r="E540" s="468"/>
      <c r="F540" s="160">
        <f>F541</f>
        <v>0</v>
      </c>
      <c r="G540" s="160"/>
      <c r="H540" s="160">
        <f t="shared" ref="H540:K541" si="141">H541</f>
        <v>16969.400000000001</v>
      </c>
      <c r="I540" s="160">
        <f t="shared" si="141"/>
        <v>13931.9</v>
      </c>
      <c r="J540" s="160">
        <f t="shared" si="141"/>
        <v>242420</v>
      </c>
      <c r="K540" s="160">
        <f t="shared" si="141"/>
        <v>199026.8</v>
      </c>
      <c r="L540" s="521"/>
      <c r="N540" s="521"/>
      <c r="O540" s="521"/>
    </row>
    <row r="541" spans="1:15" s="519" customFormat="1" x14ac:dyDescent="0.25">
      <c r="A541" s="451" t="s">
        <v>120</v>
      </c>
      <c r="B541" s="453" t="s">
        <v>5</v>
      </c>
      <c r="C541" s="454" t="s">
        <v>7</v>
      </c>
      <c r="D541" s="291" t="s">
        <v>654</v>
      </c>
      <c r="E541" s="468" t="s">
        <v>37</v>
      </c>
      <c r="F541" s="160">
        <f>F542</f>
        <v>0</v>
      </c>
      <c r="G541" s="160"/>
      <c r="H541" s="160">
        <f t="shared" si="141"/>
        <v>16969.400000000001</v>
      </c>
      <c r="I541" s="160">
        <f t="shared" si="141"/>
        <v>13931.9</v>
      </c>
      <c r="J541" s="160">
        <f t="shared" si="141"/>
        <v>242420</v>
      </c>
      <c r="K541" s="160">
        <f t="shared" si="141"/>
        <v>199026.8</v>
      </c>
      <c r="L541" s="521"/>
      <c r="N541" s="521"/>
      <c r="O541" s="521"/>
    </row>
    <row r="542" spans="1:15" s="519" customFormat="1" ht="31.5" x14ac:dyDescent="0.25">
      <c r="A542" s="451" t="s">
        <v>52</v>
      </c>
      <c r="B542" s="453" t="s">
        <v>5</v>
      </c>
      <c r="C542" s="454" t="s">
        <v>7</v>
      </c>
      <c r="D542" s="291" t="s">
        <v>654</v>
      </c>
      <c r="E542" s="468" t="s">
        <v>65</v>
      </c>
      <c r="F542" s="160">
        <f>'ведом. 2025-2027'!AD996</f>
        <v>0</v>
      </c>
      <c r="G542" s="348"/>
      <c r="H542" s="160">
        <f>'ведом. 2025-2027'!AE996</f>
        <v>16969.400000000001</v>
      </c>
      <c r="I542" s="160">
        <v>13931.9</v>
      </c>
      <c r="J542" s="160">
        <f>'ведом. 2025-2027'!AF996</f>
        <v>242420</v>
      </c>
      <c r="K542" s="160">
        <v>199026.8</v>
      </c>
      <c r="L542" s="521"/>
      <c r="M542" s="521"/>
      <c r="N542" s="521"/>
      <c r="O542" s="521"/>
    </row>
    <row r="543" spans="1:15" s="138" customFormat="1" ht="31.5" x14ac:dyDescent="0.25">
      <c r="A543" s="255" t="s">
        <v>539</v>
      </c>
      <c r="B543" s="191" t="s">
        <v>5</v>
      </c>
      <c r="C543" s="4" t="s">
        <v>7</v>
      </c>
      <c r="D543" s="156" t="s">
        <v>244</v>
      </c>
      <c r="E543" s="328"/>
      <c r="F543" s="160">
        <f>F544+F569</f>
        <v>424931.9</v>
      </c>
      <c r="G543" s="160"/>
      <c r="H543" s="160">
        <f>H544+H569</f>
        <v>390689</v>
      </c>
      <c r="I543" s="160"/>
      <c r="J543" s="160">
        <f>J544+J569</f>
        <v>444280.2</v>
      </c>
      <c r="K543" s="160"/>
      <c r="L543" s="154"/>
      <c r="N543" s="154"/>
      <c r="O543" s="154"/>
    </row>
    <row r="544" spans="1:15" s="138" customFormat="1" ht="31.5" x14ac:dyDescent="0.25">
      <c r="A544" s="257" t="s">
        <v>540</v>
      </c>
      <c r="B544" s="191" t="s">
        <v>5</v>
      </c>
      <c r="C544" s="4" t="s">
        <v>7</v>
      </c>
      <c r="D544" s="156" t="s">
        <v>245</v>
      </c>
      <c r="E544" s="326"/>
      <c r="F544" s="160">
        <f>F548+F551+F563+F560+F557+F545+F566+F554</f>
        <v>386352.80000000005</v>
      </c>
      <c r="G544" s="160"/>
      <c r="H544" s="160">
        <f t="shared" ref="H544:J544" si="142">H548+H551+H563+H560+H557+H545+H566+H554</f>
        <v>350566.7</v>
      </c>
      <c r="I544" s="160"/>
      <c r="J544" s="160">
        <f t="shared" si="142"/>
        <v>402552.9</v>
      </c>
      <c r="K544" s="160"/>
      <c r="L544" s="154"/>
      <c r="N544" s="154"/>
      <c r="O544" s="154"/>
    </row>
    <row r="545" spans="1:15" s="519" customFormat="1" x14ac:dyDescent="0.25">
      <c r="A545" s="561" t="s">
        <v>778</v>
      </c>
      <c r="B545" s="453" t="s">
        <v>5</v>
      </c>
      <c r="C545" s="453" t="s">
        <v>7</v>
      </c>
      <c r="D545" s="542" t="s">
        <v>779</v>
      </c>
      <c r="E545" s="326"/>
      <c r="F545" s="160">
        <f>F546</f>
        <v>32449.7</v>
      </c>
      <c r="G545" s="160"/>
      <c r="H545" s="160">
        <f t="shared" ref="H545:J546" si="143">H546</f>
        <v>0</v>
      </c>
      <c r="I545" s="160"/>
      <c r="J545" s="160">
        <f t="shared" si="143"/>
        <v>0</v>
      </c>
      <c r="K545" s="160"/>
      <c r="L545" s="521"/>
      <c r="N545" s="521"/>
      <c r="O545" s="521"/>
    </row>
    <row r="546" spans="1:15" s="519" customFormat="1" x14ac:dyDescent="0.25">
      <c r="A546" s="479" t="s">
        <v>120</v>
      </c>
      <c r="B546" s="453" t="s">
        <v>5</v>
      </c>
      <c r="C546" s="453" t="s">
        <v>7</v>
      </c>
      <c r="D546" s="542" t="s">
        <v>779</v>
      </c>
      <c r="E546" s="468" t="s">
        <v>37</v>
      </c>
      <c r="F546" s="160">
        <f>F547</f>
        <v>32449.7</v>
      </c>
      <c r="G546" s="160"/>
      <c r="H546" s="160">
        <f t="shared" si="143"/>
        <v>0</v>
      </c>
      <c r="I546" s="160"/>
      <c r="J546" s="160">
        <f t="shared" si="143"/>
        <v>0</v>
      </c>
      <c r="K546" s="160"/>
      <c r="L546" s="521"/>
      <c r="N546" s="521"/>
      <c r="O546" s="521"/>
    </row>
    <row r="547" spans="1:15" s="519" customFormat="1" ht="31.5" x14ac:dyDescent="0.25">
      <c r="A547" s="479" t="s">
        <v>52</v>
      </c>
      <c r="B547" s="453" t="s">
        <v>5</v>
      </c>
      <c r="C547" s="453" t="s">
        <v>7</v>
      </c>
      <c r="D547" s="542" t="s">
        <v>779</v>
      </c>
      <c r="E547" s="468" t="s">
        <v>65</v>
      </c>
      <c r="F547" s="160">
        <f>'ведом. 2025-2027'!AD1001</f>
        <v>32449.7</v>
      </c>
      <c r="G547" s="348"/>
      <c r="H547" s="160">
        <f>'ведом. 2025-2027'!AE1001</f>
        <v>0</v>
      </c>
      <c r="I547" s="160"/>
      <c r="J547" s="160">
        <f>'ведом. 2025-2027'!AF1001</f>
        <v>0</v>
      </c>
      <c r="K547" s="160"/>
      <c r="L547" s="521"/>
      <c r="N547" s="521"/>
      <c r="O547" s="521"/>
    </row>
    <row r="548" spans="1:15" s="138" customFormat="1" x14ac:dyDescent="0.25">
      <c r="A548" s="277" t="s">
        <v>577</v>
      </c>
      <c r="B548" s="191" t="s">
        <v>5</v>
      </c>
      <c r="C548" s="4" t="s">
        <v>7</v>
      </c>
      <c r="D548" s="156" t="s">
        <v>576</v>
      </c>
      <c r="E548" s="326"/>
      <c r="F548" s="346">
        <f>F549</f>
        <v>0</v>
      </c>
      <c r="G548" s="349"/>
      <c r="H548" s="346">
        <f>H549</f>
        <v>4891.6000000000004</v>
      </c>
      <c r="I548" s="346"/>
      <c r="J548" s="346">
        <f>J549</f>
        <v>32860.699999999997</v>
      </c>
      <c r="K548" s="346"/>
      <c r="L548" s="154"/>
      <c r="N548" s="154"/>
      <c r="O548" s="154"/>
    </row>
    <row r="549" spans="1:15" s="138" customFormat="1" x14ac:dyDescent="0.25">
      <c r="A549" s="253" t="s">
        <v>120</v>
      </c>
      <c r="B549" s="191" t="s">
        <v>5</v>
      </c>
      <c r="C549" s="4" t="s">
        <v>7</v>
      </c>
      <c r="D549" s="156" t="s">
        <v>576</v>
      </c>
      <c r="E549" s="325">
        <v>200</v>
      </c>
      <c r="F549" s="160">
        <f>F550</f>
        <v>0</v>
      </c>
      <c r="G549" s="350"/>
      <c r="H549" s="160">
        <f>H550</f>
        <v>4891.6000000000004</v>
      </c>
      <c r="I549" s="162"/>
      <c r="J549" s="160">
        <f>J550</f>
        <v>32860.699999999997</v>
      </c>
      <c r="K549" s="162"/>
      <c r="L549" s="154"/>
      <c r="N549" s="154"/>
      <c r="O549" s="154"/>
    </row>
    <row r="550" spans="1:15" s="138" customFormat="1" ht="31.5" x14ac:dyDescent="0.25">
      <c r="A550" s="253" t="s">
        <v>52</v>
      </c>
      <c r="B550" s="191" t="s">
        <v>5</v>
      </c>
      <c r="C550" s="4" t="s">
        <v>7</v>
      </c>
      <c r="D550" s="156" t="s">
        <v>576</v>
      </c>
      <c r="E550" s="326">
        <v>240</v>
      </c>
      <c r="F550" s="160">
        <f>'ведом. 2025-2027'!AD1004</f>
        <v>0</v>
      </c>
      <c r="G550" s="350"/>
      <c r="H550" s="160">
        <f>'ведом. 2025-2027'!AE1004</f>
        <v>4891.6000000000004</v>
      </c>
      <c r="I550" s="162"/>
      <c r="J550" s="160">
        <f>'ведом. 2025-2027'!AF1004</f>
        <v>32860.699999999997</v>
      </c>
      <c r="K550" s="162"/>
      <c r="L550" s="154"/>
      <c r="N550" s="154"/>
      <c r="O550" s="154"/>
    </row>
    <row r="551" spans="1:15" s="177" customFormat="1" x14ac:dyDescent="0.25">
      <c r="A551" s="253" t="s">
        <v>433</v>
      </c>
      <c r="B551" s="191" t="s">
        <v>5</v>
      </c>
      <c r="C551" s="4" t="s">
        <v>7</v>
      </c>
      <c r="D551" s="156" t="s">
        <v>401</v>
      </c>
      <c r="E551" s="326"/>
      <c r="F551" s="160">
        <f>F552</f>
        <v>32793.300000000003</v>
      </c>
      <c r="G551" s="348"/>
      <c r="H551" s="160">
        <f>H552</f>
        <v>22488.1</v>
      </c>
      <c r="I551" s="160"/>
      <c r="J551" s="160">
        <f>J552</f>
        <v>31269.200000000001</v>
      </c>
      <c r="K551" s="162"/>
      <c r="L551" s="154"/>
      <c r="N551" s="154"/>
      <c r="O551" s="154"/>
    </row>
    <row r="552" spans="1:15" s="177" customFormat="1" x14ac:dyDescent="0.25">
      <c r="A552" s="253" t="s">
        <v>120</v>
      </c>
      <c r="B552" s="191" t="s">
        <v>5</v>
      </c>
      <c r="C552" s="4" t="s">
        <v>7</v>
      </c>
      <c r="D552" s="156" t="s">
        <v>401</v>
      </c>
      <c r="E552" s="325">
        <v>200</v>
      </c>
      <c r="F552" s="160">
        <f>F553</f>
        <v>32793.300000000003</v>
      </c>
      <c r="G552" s="348"/>
      <c r="H552" s="160">
        <f>H553</f>
        <v>22488.1</v>
      </c>
      <c r="I552" s="160"/>
      <c r="J552" s="160">
        <f>J553</f>
        <v>31269.200000000001</v>
      </c>
      <c r="K552" s="162"/>
      <c r="L552" s="154"/>
      <c r="N552" s="154"/>
      <c r="O552" s="154"/>
    </row>
    <row r="553" spans="1:15" s="177" customFormat="1" ht="31.5" x14ac:dyDescent="0.25">
      <c r="A553" s="253" t="s">
        <v>52</v>
      </c>
      <c r="B553" s="191" t="s">
        <v>5</v>
      </c>
      <c r="C553" s="4" t="s">
        <v>7</v>
      </c>
      <c r="D553" s="156" t="s">
        <v>401</v>
      </c>
      <c r="E553" s="326">
        <v>240</v>
      </c>
      <c r="F553" s="160">
        <f>'ведом. 2025-2027'!AD1007</f>
        <v>32793.300000000003</v>
      </c>
      <c r="G553" s="350"/>
      <c r="H553" s="160">
        <f>'ведом. 2025-2027'!AE1007</f>
        <v>22488.1</v>
      </c>
      <c r="I553" s="162"/>
      <c r="J553" s="160">
        <f>'ведом. 2025-2027'!AF1007</f>
        <v>31269.200000000001</v>
      </c>
      <c r="K553" s="162"/>
      <c r="L553" s="154"/>
      <c r="N553" s="154"/>
      <c r="O553" s="154"/>
    </row>
    <row r="554" spans="1:15" s="519" customFormat="1" x14ac:dyDescent="0.25">
      <c r="A554" s="466" t="s">
        <v>891</v>
      </c>
      <c r="B554" s="453" t="s">
        <v>5</v>
      </c>
      <c r="C554" s="453" t="s">
        <v>7</v>
      </c>
      <c r="D554" s="542" t="s">
        <v>892</v>
      </c>
      <c r="E554" s="326"/>
      <c r="F554" s="160">
        <f>F555</f>
        <v>853.9</v>
      </c>
      <c r="G554" s="160"/>
      <c r="H554" s="160">
        <f t="shared" ref="H554:J555" si="144">H555</f>
        <v>0</v>
      </c>
      <c r="I554" s="160"/>
      <c r="J554" s="160">
        <f t="shared" si="144"/>
        <v>0</v>
      </c>
      <c r="K554" s="162"/>
      <c r="L554" s="521"/>
      <c r="N554" s="521"/>
      <c r="O554" s="521"/>
    </row>
    <row r="555" spans="1:15" s="519" customFormat="1" ht="31.5" x14ac:dyDescent="0.25">
      <c r="A555" s="451" t="s">
        <v>60</v>
      </c>
      <c r="B555" s="453" t="s">
        <v>5</v>
      </c>
      <c r="C555" s="453" t="s">
        <v>7</v>
      </c>
      <c r="D555" s="542" t="s">
        <v>892</v>
      </c>
      <c r="E555" s="326">
        <v>600</v>
      </c>
      <c r="F555" s="160">
        <f>F556</f>
        <v>853.9</v>
      </c>
      <c r="G555" s="160"/>
      <c r="H555" s="160">
        <f t="shared" si="144"/>
        <v>0</v>
      </c>
      <c r="I555" s="160"/>
      <c r="J555" s="160">
        <f t="shared" si="144"/>
        <v>0</v>
      </c>
      <c r="K555" s="162"/>
      <c r="L555" s="521"/>
      <c r="N555" s="521"/>
      <c r="O555" s="521"/>
    </row>
    <row r="556" spans="1:15" s="519" customFormat="1" x14ac:dyDescent="0.25">
      <c r="A556" s="451" t="s">
        <v>61</v>
      </c>
      <c r="B556" s="453" t="s">
        <v>5</v>
      </c>
      <c r="C556" s="453" t="s">
        <v>7</v>
      </c>
      <c r="D556" s="542" t="s">
        <v>892</v>
      </c>
      <c r="E556" s="326">
        <v>610</v>
      </c>
      <c r="F556" s="160">
        <f>'ведом. 2025-2027'!AD348</f>
        <v>853.9</v>
      </c>
      <c r="G556" s="350"/>
      <c r="H556" s="160">
        <f>'ведом. 2025-2027'!AE348</f>
        <v>0</v>
      </c>
      <c r="I556" s="162"/>
      <c r="J556" s="160">
        <f>'ведом. 2025-2027'!AF348</f>
        <v>0</v>
      </c>
      <c r="K556" s="162"/>
      <c r="L556" s="521"/>
      <c r="N556" s="521"/>
      <c r="O556" s="521"/>
    </row>
    <row r="557" spans="1:15" s="177" customFormat="1" ht="31.5" x14ac:dyDescent="0.25">
      <c r="A557" s="253" t="s">
        <v>629</v>
      </c>
      <c r="B557" s="1" t="s">
        <v>5</v>
      </c>
      <c r="C557" s="4" t="s">
        <v>7</v>
      </c>
      <c r="D557" s="291" t="s">
        <v>628</v>
      </c>
      <c r="E557" s="429"/>
      <c r="F557" s="160">
        <f>F558</f>
        <v>15915.2</v>
      </c>
      <c r="G557" s="160"/>
      <c r="H557" s="160">
        <f t="shared" ref="H557:J558" si="145">H558</f>
        <v>16552</v>
      </c>
      <c r="I557" s="160"/>
      <c r="J557" s="160">
        <f t="shared" si="145"/>
        <v>17214</v>
      </c>
      <c r="K557" s="160"/>
      <c r="L557" s="154"/>
      <c r="N557" s="154"/>
      <c r="O557" s="154"/>
    </row>
    <row r="558" spans="1:15" s="177" customFormat="1" x14ac:dyDescent="0.25">
      <c r="A558" s="253" t="s">
        <v>120</v>
      </c>
      <c r="B558" s="1" t="s">
        <v>5</v>
      </c>
      <c r="C558" s="4" t="s">
        <v>7</v>
      </c>
      <c r="D558" s="291" t="s">
        <v>628</v>
      </c>
      <c r="E558" s="407">
        <v>200</v>
      </c>
      <c r="F558" s="160">
        <f>F559</f>
        <v>15915.2</v>
      </c>
      <c r="G558" s="160"/>
      <c r="H558" s="160">
        <f t="shared" si="145"/>
        <v>16552</v>
      </c>
      <c r="I558" s="160"/>
      <c r="J558" s="160">
        <f t="shared" si="145"/>
        <v>17214</v>
      </c>
      <c r="K558" s="160"/>
      <c r="L558" s="154"/>
      <c r="N558" s="154"/>
      <c r="O558" s="154"/>
    </row>
    <row r="559" spans="1:15" s="177" customFormat="1" ht="31.5" x14ac:dyDescent="0.25">
      <c r="A559" s="253" t="s">
        <v>52</v>
      </c>
      <c r="B559" s="1" t="s">
        <v>5</v>
      </c>
      <c r="C559" s="4" t="s">
        <v>7</v>
      </c>
      <c r="D559" s="291" t="s">
        <v>628</v>
      </c>
      <c r="E559" s="429">
        <v>240</v>
      </c>
      <c r="F559" s="160">
        <f>'ведом. 2025-2027'!AD1010</f>
        <v>15915.2</v>
      </c>
      <c r="G559" s="350"/>
      <c r="H559" s="160">
        <f>'ведом. 2025-2027'!AE1010</f>
        <v>16552</v>
      </c>
      <c r="I559" s="162"/>
      <c r="J559" s="160">
        <f>'ведом. 2025-2027'!AF1010</f>
        <v>17214</v>
      </c>
      <c r="K559" s="162"/>
      <c r="L559" s="154"/>
      <c r="N559" s="154"/>
      <c r="O559" s="154"/>
    </row>
    <row r="560" spans="1:15" s="177" customFormat="1" x14ac:dyDescent="0.25">
      <c r="A560" s="253" t="s">
        <v>626</v>
      </c>
      <c r="B560" s="1" t="s">
        <v>5</v>
      </c>
      <c r="C560" s="4" t="s">
        <v>7</v>
      </c>
      <c r="D560" s="291" t="s">
        <v>627</v>
      </c>
      <c r="E560" s="429"/>
      <c r="F560" s="160">
        <f>F561</f>
        <v>14147</v>
      </c>
      <c r="G560" s="160"/>
      <c r="H560" s="160">
        <f t="shared" ref="H560:J561" si="146">H561</f>
        <v>14713</v>
      </c>
      <c r="I560" s="160"/>
      <c r="J560" s="160">
        <f t="shared" si="146"/>
        <v>15301</v>
      </c>
      <c r="K560" s="162"/>
      <c r="L560" s="154"/>
      <c r="N560" s="154"/>
      <c r="O560" s="154"/>
    </row>
    <row r="561" spans="1:15" s="177" customFormat="1" x14ac:dyDescent="0.25">
      <c r="A561" s="253" t="s">
        <v>120</v>
      </c>
      <c r="B561" s="1" t="s">
        <v>5</v>
      </c>
      <c r="C561" s="4" t="s">
        <v>7</v>
      </c>
      <c r="D561" s="291" t="s">
        <v>627</v>
      </c>
      <c r="E561" s="407">
        <v>200</v>
      </c>
      <c r="F561" s="160">
        <f>F562</f>
        <v>14147</v>
      </c>
      <c r="G561" s="160"/>
      <c r="H561" s="160">
        <f t="shared" si="146"/>
        <v>14713</v>
      </c>
      <c r="I561" s="160"/>
      <c r="J561" s="160">
        <f t="shared" si="146"/>
        <v>15301</v>
      </c>
      <c r="K561" s="162"/>
      <c r="L561" s="154"/>
      <c r="N561" s="154"/>
      <c r="O561" s="154"/>
    </row>
    <row r="562" spans="1:15" s="177" customFormat="1" ht="31.5" x14ac:dyDescent="0.25">
      <c r="A562" s="253" t="s">
        <v>52</v>
      </c>
      <c r="B562" s="1" t="s">
        <v>5</v>
      </c>
      <c r="C562" s="4" t="s">
        <v>7</v>
      </c>
      <c r="D562" s="291" t="s">
        <v>627</v>
      </c>
      <c r="E562" s="429">
        <v>240</v>
      </c>
      <c r="F562" s="160">
        <f>'ведом. 2025-2027'!AD1013</f>
        <v>14147</v>
      </c>
      <c r="G562" s="350"/>
      <c r="H562" s="160">
        <f>'ведом. 2025-2027'!AE1013</f>
        <v>14713</v>
      </c>
      <c r="I562" s="162"/>
      <c r="J562" s="160">
        <f>'ведом. 2025-2027'!AF1013</f>
        <v>15301</v>
      </c>
      <c r="K562" s="162"/>
      <c r="L562" s="154"/>
      <c r="N562" s="154"/>
      <c r="O562" s="154"/>
    </row>
    <row r="563" spans="1:15" s="177" customFormat="1" x14ac:dyDescent="0.25">
      <c r="A563" s="253" t="s">
        <v>428</v>
      </c>
      <c r="B563" s="191" t="s">
        <v>5</v>
      </c>
      <c r="C563" s="4" t="s">
        <v>7</v>
      </c>
      <c r="D563" s="458" t="s">
        <v>690</v>
      </c>
      <c r="E563" s="326"/>
      <c r="F563" s="160">
        <f>F564</f>
        <v>3833</v>
      </c>
      <c r="G563" s="160"/>
      <c r="H563" s="160">
        <f>H564</f>
        <v>3986</v>
      </c>
      <c r="I563" s="160"/>
      <c r="J563" s="160">
        <f>J564</f>
        <v>4145</v>
      </c>
      <c r="K563" s="160"/>
      <c r="L563" s="154"/>
      <c r="N563" s="154"/>
      <c r="O563" s="154"/>
    </row>
    <row r="564" spans="1:15" s="177" customFormat="1" x14ac:dyDescent="0.25">
      <c r="A564" s="253" t="s">
        <v>120</v>
      </c>
      <c r="B564" s="191" t="s">
        <v>5</v>
      </c>
      <c r="C564" s="4" t="s">
        <v>7</v>
      </c>
      <c r="D564" s="458" t="s">
        <v>690</v>
      </c>
      <c r="E564" s="325">
        <v>200</v>
      </c>
      <c r="F564" s="160">
        <f>F565</f>
        <v>3833</v>
      </c>
      <c r="G564" s="160"/>
      <c r="H564" s="160">
        <f>H565</f>
        <v>3986</v>
      </c>
      <c r="I564" s="160"/>
      <c r="J564" s="160">
        <f>J565</f>
        <v>4145</v>
      </c>
      <c r="K564" s="160"/>
      <c r="L564" s="154"/>
      <c r="N564" s="154"/>
      <c r="O564" s="154"/>
    </row>
    <row r="565" spans="1:15" s="177" customFormat="1" ht="31.5" x14ac:dyDescent="0.25">
      <c r="A565" s="253" t="s">
        <v>52</v>
      </c>
      <c r="B565" s="191" t="s">
        <v>5</v>
      </c>
      <c r="C565" s="4" t="s">
        <v>7</v>
      </c>
      <c r="D565" s="458" t="s">
        <v>690</v>
      </c>
      <c r="E565" s="326">
        <v>240</v>
      </c>
      <c r="F565" s="160">
        <f>'ведом. 2025-2027'!AD1016</f>
        <v>3833</v>
      </c>
      <c r="G565" s="306"/>
      <c r="H565" s="160">
        <f>'ведом. 2025-2027'!AE1016</f>
        <v>3986</v>
      </c>
      <c r="I565" s="160"/>
      <c r="J565" s="160">
        <f>'ведом. 2025-2027'!AF1016</f>
        <v>4145</v>
      </c>
      <c r="K565" s="160"/>
      <c r="L565" s="154"/>
      <c r="N565" s="154"/>
      <c r="O565" s="154"/>
    </row>
    <row r="566" spans="1:15" s="519" customFormat="1" ht="31.5" x14ac:dyDescent="0.25">
      <c r="A566" s="256" t="s">
        <v>583</v>
      </c>
      <c r="B566" s="191" t="s">
        <v>5</v>
      </c>
      <c r="C566" s="516" t="s">
        <v>7</v>
      </c>
      <c r="D566" s="156" t="s">
        <v>419</v>
      </c>
      <c r="E566" s="326"/>
      <c r="F566" s="160">
        <f>F567</f>
        <v>286360.7</v>
      </c>
      <c r="G566" s="350"/>
      <c r="H566" s="160">
        <f>H567</f>
        <v>287936</v>
      </c>
      <c r="I566" s="162"/>
      <c r="J566" s="160">
        <f>J567</f>
        <v>301763</v>
      </c>
      <c r="K566" s="162"/>
      <c r="L566" s="521"/>
      <c r="N566" s="521"/>
      <c r="O566" s="521"/>
    </row>
    <row r="567" spans="1:15" s="519" customFormat="1" ht="31.5" x14ac:dyDescent="0.25">
      <c r="A567" s="375" t="s">
        <v>60</v>
      </c>
      <c r="B567" s="191" t="s">
        <v>5</v>
      </c>
      <c r="C567" s="516" t="s">
        <v>7</v>
      </c>
      <c r="D567" s="156" t="s">
        <v>419</v>
      </c>
      <c r="E567" s="325">
        <v>600</v>
      </c>
      <c r="F567" s="160">
        <f>F568</f>
        <v>286360.7</v>
      </c>
      <c r="G567" s="350"/>
      <c r="H567" s="160">
        <f>H568</f>
        <v>287936</v>
      </c>
      <c r="I567" s="162"/>
      <c r="J567" s="160">
        <f>J568</f>
        <v>301763</v>
      </c>
      <c r="K567" s="162"/>
      <c r="L567" s="521"/>
      <c r="N567" s="521"/>
      <c r="O567" s="521"/>
    </row>
    <row r="568" spans="1:15" s="519" customFormat="1" x14ac:dyDescent="0.25">
      <c r="A568" s="375" t="s">
        <v>61</v>
      </c>
      <c r="B568" s="191" t="s">
        <v>5</v>
      </c>
      <c r="C568" s="516" t="s">
        <v>7</v>
      </c>
      <c r="D568" s="156" t="s">
        <v>419</v>
      </c>
      <c r="E568" s="326">
        <v>610</v>
      </c>
      <c r="F568" s="160">
        <f>'ведом. 2025-2027'!AD351</f>
        <v>286360.7</v>
      </c>
      <c r="G568" s="350"/>
      <c r="H568" s="160">
        <f>'ведом. 2025-2027'!AE351</f>
        <v>287936</v>
      </c>
      <c r="I568" s="162"/>
      <c r="J568" s="160">
        <f>'ведом. 2025-2027'!AF351</f>
        <v>301763</v>
      </c>
      <c r="K568" s="162"/>
      <c r="L568" s="521"/>
      <c r="N568" s="521"/>
      <c r="O568" s="521"/>
    </row>
    <row r="569" spans="1:15" s="519" customFormat="1" x14ac:dyDescent="0.25">
      <c r="A569" s="466" t="s">
        <v>649</v>
      </c>
      <c r="B569" s="191" t="s">
        <v>5</v>
      </c>
      <c r="C569" s="516" t="s">
        <v>7</v>
      </c>
      <c r="D569" s="555" t="s">
        <v>822</v>
      </c>
      <c r="E569" s="326"/>
      <c r="F569" s="160">
        <f>F570</f>
        <v>38579.1</v>
      </c>
      <c r="G569" s="160"/>
      <c r="H569" s="160">
        <f t="shared" ref="H569:J569" si="147">H570</f>
        <v>40122.300000000003</v>
      </c>
      <c r="I569" s="160"/>
      <c r="J569" s="160">
        <f t="shared" si="147"/>
        <v>41727.300000000003</v>
      </c>
      <c r="K569" s="162"/>
      <c r="L569" s="521"/>
      <c r="N569" s="521"/>
      <c r="O569" s="521"/>
    </row>
    <row r="570" spans="1:15" s="519" customFormat="1" x14ac:dyDescent="0.25">
      <c r="A570" s="561" t="s">
        <v>395</v>
      </c>
      <c r="B570" s="453" t="s">
        <v>5</v>
      </c>
      <c r="C570" s="453" t="s">
        <v>7</v>
      </c>
      <c r="D570" s="555" t="s">
        <v>791</v>
      </c>
      <c r="E570" s="454"/>
      <c r="F570" s="160">
        <f>F571</f>
        <v>38579.1</v>
      </c>
      <c r="G570" s="160"/>
      <c r="H570" s="160">
        <f t="shared" ref="H570:J571" si="148">H571</f>
        <v>40122.300000000003</v>
      </c>
      <c r="I570" s="160"/>
      <c r="J570" s="160">
        <f t="shared" si="148"/>
        <v>41727.300000000003</v>
      </c>
      <c r="K570" s="160"/>
      <c r="L570" s="521"/>
      <c r="N570" s="521"/>
      <c r="O570" s="521"/>
    </row>
    <row r="571" spans="1:15" s="519" customFormat="1" x14ac:dyDescent="0.25">
      <c r="A571" s="479" t="s">
        <v>120</v>
      </c>
      <c r="B571" s="453" t="s">
        <v>5</v>
      </c>
      <c r="C571" s="453" t="s">
        <v>7</v>
      </c>
      <c r="D571" s="555" t="s">
        <v>791</v>
      </c>
      <c r="E571" s="454">
        <v>200</v>
      </c>
      <c r="F571" s="160">
        <f>F572</f>
        <v>38579.1</v>
      </c>
      <c r="G571" s="160"/>
      <c r="H571" s="160">
        <f t="shared" si="148"/>
        <v>40122.300000000003</v>
      </c>
      <c r="I571" s="160"/>
      <c r="J571" s="160">
        <f t="shared" si="148"/>
        <v>41727.300000000003</v>
      </c>
      <c r="K571" s="160"/>
      <c r="L571" s="521"/>
      <c r="N571" s="521"/>
      <c r="O571" s="521"/>
    </row>
    <row r="572" spans="1:15" s="519" customFormat="1" ht="31.5" x14ac:dyDescent="0.25">
      <c r="A572" s="479" t="s">
        <v>52</v>
      </c>
      <c r="B572" s="453" t="s">
        <v>5</v>
      </c>
      <c r="C572" s="453" t="s">
        <v>7</v>
      </c>
      <c r="D572" s="555" t="s">
        <v>791</v>
      </c>
      <c r="E572" s="454">
        <v>240</v>
      </c>
      <c r="F572" s="160">
        <f>'ведом. 2025-2027'!AD1020</f>
        <v>38579.1</v>
      </c>
      <c r="G572" s="524"/>
      <c r="H572" s="160">
        <f>'ведом. 2025-2027'!AE1020</f>
        <v>40122.300000000003</v>
      </c>
      <c r="I572" s="160"/>
      <c r="J572" s="160">
        <f>'ведом. 2025-2027'!AF1020</f>
        <v>41727.300000000003</v>
      </c>
      <c r="K572" s="160"/>
      <c r="L572" s="521"/>
      <c r="N572" s="521"/>
      <c r="O572" s="521"/>
    </row>
    <row r="573" spans="1:15" s="138" customFormat="1" x14ac:dyDescent="0.25">
      <c r="A573" s="375" t="s">
        <v>27</v>
      </c>
      <c r="B573" s="191" t="s">
        <v>5</v>
      </c>
      <c r="C573" s="4" t="s">
        <v>5</v>
      </c>
      <c r="D573" s="26"/>
      <c r="E573" s="325"/>
      <c r="F573" s="159">
        <f>F580+F574</f>
        <v>30952.800000000003</v>
      </c>
      <c r="G573" s="440">
        <f t="shared" ref="G573:K573" si="149">G580+G574</f>
        <v>1612</v>
      </c>
      <c r="H573" s="522">
        <f t="shared" si="149"/>
        <v>30209.8</v>
      </c>
      <c r="I573" s="522">
        <f t="shared" si="149"/>
        <v>1614</v>
      </c>
      <c r="J573" s="522">
        <f t="shared" si="149"/>
        <v>30215.399999999998</v>
      </c>
      <c r="K573" s="522">
        <f t="shared" si="149"/>
        <v>1616</v>
      </c>
      <c r="L573" s="154"/>
      <c r="N573" s="154"/>
      <c r="O573" s="154"/>
    </row>
    <row r="574" spans="1:15" s="438" customFormat="1" x14ac:dyDescent="0.25">
      <c r="A574" s="457" t="s">
        <v>186</v>
      </c>
      <c r="B574" s="453" t="s">
        <v>5</v>
      </c>
      <c r="C574" s="454" t="s">
        <v>5</v>
      </c>
      <c r="D574" s="458" t="s">
        <v>112</v>
      </c>
      <c r="E574" s="456"/>
      <c r="F574" s="440">
        <f>F575</f>
        <v>124.39999999999999</v>
      </c>
      <c r="G574" s="440"/>
      <c r="H574" s="522">
        <f t="shared" ref="H574:J578" si="150">H575</f>
        <v>87.9</v>
      </c>
      <c r="I574" s="522"/>
      <c r="J574" s="522">
        <f t="shared" si="150"/>
        <v>91.5</v>
      </c>
      <c r="K574" s="522"/>
      <c r="L574" s="154"/>
      <c r="N574" s="154"/>
      <c r="O574" s="154"/>
    </row>
    <row r="575" spans="1:15" s="438" customFormat="1" x14ac:dyDescent="0.25">
      <c r="A575" s="457" t="s">
        <v>189</v>
      </c>
      <c r="B575" s="453" t="s">
        <v>5</v>
      </c>
      <c r="C575" s="454" t="s">
        <v>5</v>
      </c>
      <c r="D575" s="458" t="s">
        <v>190</v>
      </c>
      <c r="E575" s="456"/>
      <c r="F575" s="440">
        <f>F576</f>
        <v>124.39999999999999</v>
      </c>
      <c r="G575" s="440"/>
      <c r="H575" s="522">
        <f t="shared" si="150"/>
        <v>87.9</v>
      </c>
      <c r="I575" s="522"/>
      <c r="J575" s="522">
        <f t="shared" si="150"/>
        <v>91.5</v>
      </c>
      <c r="K575" s="522"/>
      <c r="L575" s="154"/>
      <c r="N575" s="154"/>
      <c r="O575" s="154"/>
    </row>
    <row r="576" spans="1:15" s="438" customFormat="1" ht="31.5" x14ac:dyDescent="0.25">
      <c r="A576" s="451" t="s">
        <v>533</v>
      </c>
      <c r="B576" s="453" t="s">
        <v>5</v>
      </c>
      <c r="C576" s="454" t="s">
        <v>5</v>
      </c>
      <c r="D576" s="464" t="s">
        <v>534</v>
      </c>
      <c r="E576" s="460"/>
      <c r="F576" s="440">
        <f>F577</f>
        <v>124.39999999999999</v>
      </c>
      <c r="G576" s="440"/>
      <c r="H576" s="522">
        <f t="shared" si="150"/>
        <v>87.9</v>
      </c>
      <c r="I576" s="522"/>
      <c r="J576" s="522">
        <f t="shared" si="150"/>
        <v>91.5</v>
      </c>
      <c r="K576" s="522"/>
      <c r="L576" s="154"/>
      <c r="N576" s="154"/>
      <c r="O576" s="154"/>
    </row>
    <row r="577" spans="1:15" s="438" customFormat="1" ht="78.75" x14ac:dyDescent="0.25">
      <c r="A577" s="451" t="s">
        <v>405</v>
      </c>
      <c r="B577" s="453" t="s">
        <v>5</v>
      </c>
      <c r="C577" s="454" t="s">
        <v>5</v>
      </c>
      <c r="D577" s="458" t="s">
        <v>535</v>
      </c>
      <c r="E577" s="460"/>
      <c r="F577" s="440">
        <f>F578</f>
        <v>124.39999999999999</v>
      </c>
      <c r="G577" s="440"/>
      <c r="H577" s="522">
        <f t="shared" si="150"/>
        <v>87.9</v>
      </c>
      <c r="I577" s="522"/>
      <c r="J577" s="522">
        <f t="shared" si="150"/>
        <v>91.5</v>
      </c>
      <c r="K577" s="522"/>
      <c r="L577" s="154"/>
      <c r="N577" s="154"/>
      <c r="O577" s="154"/>
    </row>
    <row r="578" spans="1:15" s="438" customFormat="1" x14ac:dyDescent="0.25">
      <c r="A578" s="451" t="s">
        <v>120</v>
      </c>
      <c r="B578" s="453" t="s">
        <v>5</v>
      </c>
      <c r="C578" s="454" t="s">
        <v>5</v>
      </c>
      <c r="D578" s="458" t="s">
        <v>535</v>
      </c>
      <c r="E578" s="460">
        <v>200</v>
      </c>
      <c r="F578" s="440">
        <f>F579</f>
        <v>124.39999999999999</v>
      </c>
      <c r="G578" s="440"/>
      <c r="H578" s="522">
        <f t="shared" si="150"/>
        <v>87.9</v>
      </c>
      <c r="I578" s="522"/>
      <c r="J578" s="522">
        <f t="shared" si="150"/>
        <v>91.5</v>
      </c>
      <c r="K578" s="522"/>
      <c r="L578" s="154"/>
      <c r="N578" s="154"/>
      <c r="O578" s="154"/>
    </row>
    <row r="579" spans="1:15" s="438" customFormat="1" ht="31.5" x14ac:dyDescent="0.25">
      <c r="A579" s="451" t="s">
        <v>52</v>
      </c>
      <c r="B579" s="453" t="s">
        <v>5</v>
      </c>
      <c r="C579" s="454" t="s">
        <v>5</v>
      </c>
      <c r="D579" s="458" t="s">
        <v>535</v>
      </c>
      <c r="E579" s="460">
        <v>240</v>
      </c>
      <c r="F579" s="440">
        <f>'ведом. 2025-2027'!AD1027</f>
        <v>124.39999999999999</v>
      </c>
      <c r="G579" s="306"/>
      <c r="H579" s="522">
        <f>'ведом. 2025-2027'!AE1027</f>
        <v>87.9</v>
      </c>
      <c r="I579" s="522"/>
      <c r="J579" s="522">
        <f>'ведом. 2025-2027'!AF1027</f>
        <v>91.5</v>
      </c>
      <c r="K579" s="522"/>
      <c r="L579" s="154"/>
      <c r="N579" s="154"/>
      <c r="O579" s="154"/>
    </row>
    <row r="580" spans="1:15" s="138" customFormat="1" x14ac:dyDescent="0.25">
      <c r="A580" s="255" t="s">
        <v>242</v>
      </c>
      <c r="B580" s="191" t="s">
        <v>5</v>
      </c>
      <c r="C580" s="4" t="s">
        <v>5</v>
      </c>
      <c r="D580" s="156" t="s">
        <v>243</v>
      </c>
      <c r="E580" s="326"/>
      <c r="F580" s="159">
        <f t="shared" ref="F580:K580" si="151">F581+F588</f>
        <v>30828.400000000001</v>
      </c>
      <c r="G580" s="306">
        <f t="shared" si="151"/>
        <v>1612</v>
      </c>
      <c r="H580" s="522">
        <f t="shared" si="151"/>
        <v>30121.899999999998</v>
      </c>
      <c r="I580" s="522">
        <f t="shared" si="151"/>
        <v>1614</v>
      </c>
      <c r="J580" s="522">
        <f t="shared" si="151"/>
        <v>30123.899999999998</v>
      </c>
      <c r="K580" s="522">
        <f t="shared" si="151"/>
        <v>1616</v>
      </c>
      <c r="L580" s="154"/>
      <c r="N580" s="154"/>
      <c r="O580" s="154"/>
    </row>
    <row r="581" spans="1:15" s="177" customFormat="1" ht="31.5" x14ac:dyDescent="0.25">
      <c r="A581" s="255" t="s">
        <v>539</v>
      </c>
      <c r="B581" s="191" t="s">
        <v>5</v>
      </c>
      <c r="C581" s="4" t="s">
        <v>5</v>
      </c>
      <c r="D581" s="156" t="s">
        <v>244</v>
      </c>
      <c r="E581" s="326"/>
      <c r="F581" s="159">
        <f>F582</f>
        <v>1612</v>
      </c>
      <c r="G581" s="306">
        <f t="shared" ref="G581:K582" si="152">G582</f>
        <v>1612</v>
      </c>
      <c r="H581" s="522">
        <f t="shared" si="152"/>
        <v>1614</v>
      </c>
      <c r="I581" s="522">
        <f t="shared" si="152"/>
        <v>1614</v>
      </c>
      <c r="J581" s="522">
        <f t="shared" si="152"/>
        <v>1616</v>
      </c>
      <c r="K581" s="522">
        <f t="shared" si="152"/>
        <v>1616</v>
      </c>
      <c r="L581" s="154"/>
      <c r="N581" s="154"/>
      <c r="O581" s="154"/>
    </row>
    <row r="582" spans="1:15" s="177" customFormat="1" ht="31.5" x14ac:dyDescent="0.25">
      <c r="A582" s="257" t="s">
        <v>345</v>
      </c>
      <c r="B582" s="191" t="s">
        <v>5</v>
      </c>
      <c r="C582" s="4" t="s">
        <v>5</v>
      </c>
      <c r="D582" s="156" t="s">
        <v>245</v>
      </c>
      <c r="E582" s="326"/>
      <c r="F582" s="159">
        <f>F583</f>
        <v>1612</v>
      </c>
      <c r="G582" s="306">
        <f t="shared" si="152"/>
        <v>1612</v>
      </c>
      <c r="H582" s="522">
        <f t="shared" si="152"/>
        <v>1614</v>
      </c>
      <c r="I582" s="522">
        <f t="shared" si="152"/>
        <v>1614</v>
      </c>
      <c r="J582" s="522">
        <f t="shared" si="152"/>
        <v>1616</v>
      </c>
      <c r="K582" s="522">
        <f t="shared" si="152"/>
        <v>1616</v>
      </c>
      <c r="L582" s="154"/>
      <c r="N582" s="154"/>
      <c r="O582" s="154"/>
    </row>
    <row r="583" spans="1:15" s="177" customFormat="1" ht="31.5" x14ac:dyDescent="0.25">
      <c r="A583" s="273" t="s">
        <v>328</v>
      </c>
      <c r="B583" s="191" t="s">
        <v>5</v>
      </c>
      <c r="C583" s="4" t="s">
        <v>5</v>
      </c>
      <c r="D583" s="156" t="s">
        <v>542</v>
      </c>
      <c r="E583" s="326"/>
      <c r="F583" s="159">
        <f t="shared" ref="F583:K583" si="153">F584+F586</f>
        <v>1612</v>
      </c>
      <c r="G583" s="306">
        <f t="shared" si="153"/>
        <v>1612</v>
      </c>
      <c r="H583" s="522">
        <f t="shared" si="153"/>
        <v>1614</v>
      </c>
      <c r="I583" s="522">
        <f t="shared" si="153"/>
        <v>1614</v>
      </c>
      <c r="J583" s="522">
        <f t="shared" si="153"/>
        <v>1616</v>
      </c>
      <c r="K583" s="522">
        <f t="shared" si="153"/>
        <v>1616</v>
      </c>
      <c r="L583" s="154"/>
      <c r="N583" s="154"/>
      <c r="O583" s="154"/>
    </row>
    <row r="584" spans="1:15" s="177" customFormat="1" ht="47.25" x14ac:dyDescent="0.25">
      <c r="A584" s="273" t="s">
        <v>41</v>
      </c>
      <c r="B584" s="191" t="s">
        <v>5</v>
      </c>
      <c r="C584" s="4" t="s">
        <v>5</v>
      </c>
      <c r="D584" s="156" t="s">
        <v>542</v>
      </c>
      <c r="E584" s="326">
        <v>100</v>
      </c>
      <c r="F584" s="159">
        <f t="shared" ref="F584:K584" si="154">F585</f>
        <v>1541</v>
      </c>
      <c r="G584" s="306">
        <f t="shared" si="154"/>
        <v>1541</v>
      </c>
      <c r="H584" s="522">
        <f t="shared" si="154"/>
        <v>1541</v>
      </c>
      <c r="I584" s="522">
        <f t="shared" si="154"/>
        <v>1541</v>
      </c>
      <c r="J584" s="522">
        <f t="shared" si="154"/>
        <v>1541</v>
      </c>
      <c r="K584" s="522">
        <f t="shared" si="154"/>
        <v>1541</v>
      </c>
      <c r="L584" s="154"/>
      <c r="N584" s="154"/>
      <c r="O584" s="154"/>
    </row>
    <row r="585" spans="1:15" s="177" customFormat="1" x14ac:dyDescent="0.25">
      <c r="A585" s="273" t="s">
        <v>96</v>
      </c>
      <c r="B585" s="191" t="s">
        <v>5</v>
      </c>
      <c r="C585" s="4" t="s">
        <v>5</v>
      </c>
      <c r="D585" s="156" t="s">
        <v>542</v>
      </c>
      <c r="E585" s="326">
        <v>120</v>
      </c>
      <c r="F585" s="159">
        <f>'ведом. 2025-2027'!AD1033</f>
        <v>1541</v>
      </c>
      <c r="G585" s="306">
        <f>F585</f>
        <v>1541</v>
      </c>
      <c r="H585" s="522">
        <f>'ведом. 2025-2027'!AE1033</f>
        <v>1541</v>
      </c>
      <c r="I585" s="522">
        <f>'ведом. 2025-2027'!AF1033</f>
        <v>1541</v>
      </c>
      <c r="J585" s="522">
        <f>'ведом. 2025-2027'!AF1033</f>
        <v>1541</v>
      </c>
      <c r="K585" s="522">
        <f>J585</f>
        <v>1541</v>
      </c>
      <c r="L585" s="154"/>
      <c r="N585" s="154"/>
      <c r="O585" s="154"/>
    </row>
    <row r="586" spans="1:15" s="177" customFormat="1" x14ac:dyDescent="0.25">
      <c r="A586" s="273" t="s">
        <v>120</v>
      </c>
      <c r="B586" s="191" t="s">
        <v>5</v>
      </c>
      <c r="C586" s="4" t="s">
        <v>5</v>
      </c>
      <c r="D586" s="156" t="s">
        <v>542</v>
      </c>
      <c r="E586" s="326">
        <v>200</v>
      </c>
      <c r="F586" s="159">
        <f t="shared" ref="F586:K586" si="155">F587</f>
        <v>71</v>
      </c>
      <c r="G586" s="306">
        <f t="shared" si="155"/>
        <v>71</v>
      </c>
      <c r="H586" s="522">
        <f t="shared" si="155"/>
        <v>73</v>
      </c>
      <c r="I586" s="522">
        <f t="shared" si="155"/>
        <v>73</v>
      </c>
      <c r="J586" s="522">
        <f t="shared" si="155"/>
        <v>75</v>
      </c>
      <c r="K586" s="522">
        <f t="shared" si="155"/>
        <v>75</v>
      </c>
      <c r="L586" s="154"/>
      <c r="N586" s="154"/>
      <c r="O586" s="154"/>
    </row>
    <row r="587" spans="1:15" s="177" customFormat="1" ht="31.5" x14ac:dyDescent="0.25">
      <c r="A587" s="273" t="s">
        <v>52</v>
      </c>
      <c r="B587" s="191" t="s">
        <v>5</v>
      </c>
      <c r="C587" s="4" t="s">
        <v>5</v>
      </c>
      <c r="D587" s="156" t="s">
        <v>542</v>
      </c>
      <c r="E587" s="326">
        <v>240</v>
      </c>
      <c r="F587" s="159">
        <f>'ведом. 2025-2027'!AD1035</f>
        <v>71</v>
      </c>
      <c r="G587" s="306">
        <f>F587</f>
        <v>71</v>
      </c>
      <c r="H587" s="522">
        <f>'ведом. 2025-2027'!AE1035</f>
        <v>73</v>
      </c>
      <c r="I587" s="522">
        <f>H587</f>
        <v>73</v>
      </c>
      <c r="J587" s="522">
        <f>'ведом. 2025-2027'!AF1035</f>
        <v>75</v>
      </c>
      <c r="K587" s="522">
        <f>J587</f>
        <v>75</v>
      </c>
      <c r="L587" s="154"/>
      <c r="N587" s="154"/>
      <c r="O587" s="154"/>
    </row>
    <row r="588" spans="1:15" s="138" customFormat="1" x14ac:dyDescent="0.25">
      <c r="A588" s="255" t="s">
        <v>189</v>
      </c>
      <c r="B588" s="191" t="s">
        <v>5</v>
      </c>
      <c r="C588" s="4" t="s">
        <v>5</v>
      </c>
      <c r="D588" s="156" t="s">
        <v>320</v>
      </c>
      <c r="E588" s="326"/>
      <c r="F588" s="159">
        <f t="shared" ref="F588:J589" si="156">F589</f>
        <v>29216.400000000001</v>
      </c>
      <c r="G588" s="306"/>
      <c r="H588" s="522">
        <f t="shared" si="156"/>
        <v>28507.899999999998</v>
      </c>
      <c r="I588" s="522"/>
      <c r="J588" s="522">
        <f t="shared" si="156"/>
        <v>28507.899999999998</v>
      </c>
      <c r="K588" s="522"/>
      <c r="L588" s="154"/>
      <c r="N588" s="154"/>
      <c r="O588" s="154"/>
    </row>
    <row r="589" spans="1:15" s="138" customFormat="1" ht="31.5" x14ac:dyDescent="0.25">
      <c r="A589" s="255" t="s">
        <v>191</v>
      </c>
      <c r="B589" s="191" t="s">
        <v>5</v>
      </c>
      <c r="C589" s="4" t="s">
        <v>5</v>
      </c>
      <c r="D589" s="156" t="s">
        <v>322</v>
      </c>
      <c r="E589" s="326"/>
      <c r="F589" s="159">
        <f>F590</f>
        <v>29216.400000000001</v>
      </c>
      <c r="G589" s="306"/>
      <c r="H589" s="522">
        <f t="shared" si="156"/>
        <v>28507.899999999998</v>
      </c>
      <c r="I589" s="522"/>
      <c r="J589" s="522">
        <f t="shared" si="156"/>
        <v>28507.899999999998</v>
      </c>
      <c r="K589" s="522"/>
      <c r="L589" s="154"/>
      <c r="N589" s="154"/>
      <c r="O589" s="154"/>
    </row>
    <row r="590" spans="1:15" s="138" customFormat="1" x14ac:dyDescent="0.25">
      <c r="A590" s="256" t="s">
        <v>205</v>
      </c>
      <c r="B590" s="191" t="s">
        <v>5</v>
      </c>
      <c r="C590" s="4" t="s">
        <v>5</v>
      </c>
      <c r="D590" s="156" t="s">
        <v>543</v>
      </c>
      <c r="E590" s="326"/>
      <c r="F590" s="159">
        <f>F591+F596+F599</f>
        <v>29216.400000000001</v>
      </c>
      <c r="G590" s="306"/>
      <c r="H590" s="522">
        <f>H591+H596+H599</f>
        <v>28507.899999999998</v>
      </c>
      <c r="I590" s="522"/>
      <c r="J590" s="522">
        <f>J591+J596+J599</f>
        <v>28507.899999999998</v>
      </c>
      <c r="K590" s="522"/>
      <c r="L590" s="154"/>
      <c r="N590" s="154"/>
      <c r="O590" s="154"/>
    </row>
    <row r="591" spans="1:15" s="138" customFormat="1" ht="31.5" x14ac:dyDescent="0.25">
      <c r="A591" s="375" t="s">
        <v>206</v>
      </c>
      <c r="B591" s="191" t="s">
        <v>5</v>
      </c>
      <c r="C591" s="4" t="s">
        <v>5</v>
      </c>
      <c r="D591" s="156" t="s">
        <v>544</v>
      </c>
      <c r="E591" s="340"/>
      <c r="F591" s="159">
        <f>F592+F594</f>
        <v>2285.8999999999996</v>
      </c>
      <c r="G591" s="522"/>
      <c r="H591" s="522">
        <f t="shared" ref="H591:J591" si="157">H592+H594</f>
        <v>2325.6</v>
      </c>
      <c r="I591" s="522"/>
      <c r="J591" s="522">
        <f t="shared" si="157"/>
        <v>2325.6</v>
      </c>
      <c r="K591" s="522"/>
      <c r="L591" s="154"/>
      <c r="N591" s="154"/>
      <c r="O591" s="154"/>
    </row>
    <row r="592" spans="1:15" s="138" customFormat="1" x14ac:dyDescent="0.25">
      <c r="A592" s="375" t="s">
        <v>120</v>
      </c>
      <c r="B592" s="191" t="s">
        <v>5</v>
      </c>
      <c r="C592" s="4" t="s">
        <v>5</v>
      </c>
      <c r="D592" s="156" t="s">
        <v>544</v>
      </c>
      <c r="E592" s="326">
        <v>200</v>
      </c>
      <c r="F592" s="159">
        <f>F593</f>
        <v>2285.7999999999997</v>
      </c>
      <c r="G592" s="306"/>
      <c r="H592" s="522">
        <f>H593</f>
        <v>2325.6</v>
      </c>
      <c r="I592" s="522"/>
      <c r="J592" s="522">
        <f>J593</f>
        <v>2325.6</v>
      </c>
      <c r="K592" s="522"/>
      <c r="L592" s="154"/>
      <c r="N592" s="154"/>
      <c r="O592" s="154"/>
    </row>
    <row r="593" spans="1:24" s="138" customFormat="1" ht="31.5" x14ac:dyDescent="0.25">
      <c r="A593" s="375" t="s">
        <v>52</v>
      </c>
      <c r="B593" s="191" t="s">
        <v>5</v>
      </c>
      <c r="C593" s="4" t="s">
        <v>5</v>
      </c>
      <c r="D593" s="156" t="s">
        <v>544</v>
      </c>
      <c r="E593" s="326">
        <v>240</v>
      </c>
      <c r="F593" s="159">
        <f>'ведом. 2025-2027'!AD1041</f>
        <v>2285.7999999999997</v>
      </c>
      <c r="G593" s="306"/>
      <c r="H593" s="522">
        <f>'ведом. 2025-2027'!AE1041</f>
        <v>2325.6</v>
      </c>
      <c r="I593" s="522"/>
      <c r="J593" s="522">
        <f>'ведом. 2025-2027'!AF1041</f>
        <v>2325.6</v>
      </c>
      <c r="K593" s="522"/>
      <c r="L593" s="154"/>
      <c r="N593" s="154"/>
      <c r="O593" s="154"/>
    </row>
    <row r="594" spans="1:24" s="519" customFormat="1" x14ac:dyDescent="0.25">
      <c r="A594" s="451" t="s">
        <v>42</v>
      </c>
      <c r="B594" s="191" t="s">
        <v>5</v>
      </c>
      <c r="C594" s="516" t="s">
        <v>5</v>
      </c>
      <c r="D594" s="156" t="s">
        <v>544</v>
      </c>
      <c r="E594" s="326">
        <v>800</v>
      </c>
      <c r="F594" s="522">
        <f>F595</f>
        <v>0.1</v>
      </c>
      <c r="G594" s="522"/>
      <c r="H594" s="522">
        <f t="shared" ref="H594:J594" si="158">H595</f>
        <v>0</v>
      </c>
      <c r="I594" s="522"/>
      <c r="J594" s="522">
        <f t="shared" si="158"/>
        <v>0</v>
      </c>
      <c r="K594" s="522"/>
      <c r="L594" s="521"/>
      <c r="N594" s="521"/>
      <c r="O594" s="521"/>
    </row>
    <row r="595" spans="1:24" s="519" customFormat="1" x14ac:dyDescent="0.25">
      <c r="A595" s="451" t="s">
        <v>57</v>
      </c>
      <c r="B595" s="191" t="s">
        <v>5</v>
      </c>
      <c r="C595" s="516" t="s">
        <v>5</v>
      </c>
      <c r="D595" s="156" t="s">
        <v>544</v>
      </c>
      <c r="E595" s="326">
        <v>850</v>
      </c>
      <c r="F595" s="522">
        <f>'ведом. 2025-2027'!AD1043</f>
        <v>0.1</v>
      </c>
      <c r="G595" s="524"/>
      <c r="H595" s="522">
        <f>'ведом. 2025-2027'!AE1043</f>
        <v>0</v>
      </c>
      <c r="I595" s="522"/>
      <c r="J595" s="522">
        <f>'ведом. 2025-2027'!AF1043</f>
        <v>0</v>
      </c>
      <c r="K595" s="522"/>
      <c r="L595" s="521"/>
      <c r="N595" s="521"/>
      <c r="O595" s="521"/>
    </row>
    <row r="596" spans="1:24" s="138" customFormat="1" ht="31.5" x14ac:dyDescent="0.25">
      <c r="A596" s="375" t="s">
        <v>207</v>
      </c>
      <c r="B596" s="191" t="s">
        <v>5</v>
      </c>
      <c r="C596" s="4" t="s">
        <v>5</v>
      </c>
      <c r="D596" s="156" t="s">
        <v>545</v>
      </c>
      <c r="E596" s="340"/>
      <c r="F596" s="159">
        <f>F597</f>
        <v>17192.5</v>
      </c>
      <c r="G596" s="306"/>
      <c r="H596" s="522">
        <f>H597</f>
        <v>16444.3</v>
      </c>
      <c r="I596" s="522"/>
      <c r="J596" s="522">
        <f>J597</f>
        <v>16444.3</v>
      </c>
      <c r="K596" s="522"/>
      <c r="L596" s="154"/>
      <c r="N596" s="154"/>
      <c r="O596" s="154"/>
    </row>
    <row r="597" spans="1:24" s="138" customFormat="1" ht="47.25" x14ac:dyDescent="0.25">
      <c r="A597" s="375" t="s">
        <v>41</v>
      </c>
      <c r="B597" s="191" t="s">
        <v>5</v>
      </c>
      <c r="C597" s="4" t="s">
        <v>5</v>
      </c>
      <c r="D597" s="156" t="s">
        <v>545</v>
      </c>
      <c r="E597" s="326">
        <v>100</v>
      </c>
      <c r="F597" s="159">
        <f>F598</f>
        <v>17192.5</v>
      </c>
      <c r="G597" s="306"/>
      <c r="H597" s="522">
        <f>H598</f>
        <v>16444.3</v>
      </c>
      <c r="I597" s="522"/>
      <c r="J597" s="522">
        <f>J598</f>
        <v>16444.3</v>
      </c>
      <c r="K597" s="522"/>
      <c r="L597" s="154"/>
      <c r="N597" s="154"/>
      <c r="O597" s="154"/>
    </row>
    <row r="598" spans="1:24" s="138" customFormat="1" x14ac:dyDescent="0.25">
      <c r="A598" s="375" t="s">
        <v>96</v>
      </c>
      <c r="B598" s="191" t="s">
        <v>5</v>
      </c>
      <c r="C598" s="4" t="s">
        <v>5</v>
      </c>
      <c r="D598" s="156" t="s">
        <v>545</v>
      </c>
      <c r="E598" s="326">
        <v>120</v>
      </c>
      <c r="F598" s="159">
        <f>'ведом. 2025-2027'!AD1046</f>
        <v>17192.5</v>
      </c>
      <c r="G598" s="306"/>
      <c r="H598" s="522">
        <f>'ведом. 2025-2027'!AE1046</f>
        <v>16444.3</v>
      </c>
      <c r="I598" s="522"/>
      <c r="J598" s="522">
        <f>'ведом. 2025-2027'!AF1046</f>
        <v>16444.3</v>
      </c>
      <c r="K598" s="522"/>
      <c r="L598" s="154"/>
      <c r="N598" s="154"/>
      <c r="O598" s="154"/>
    </row>
    <row r="599" spans="1:24" s="138" customFormat="1" ht="31.5" x14ac:dyDescent="0.25">
      <c r="A599" s="375" t="s">
        <v>208</v>
      </c>
      <c r="B599" s="191" t="s">
        <v>5</v>
      </c>
      <c r="C599" s="4" t="s">
        <v>5</v>
      </c>
      <c r="D599" s="156" t="s">
        <v>546</v>
      </c>
      <c r="E599" s="340"/>
      <c r="F599" s="159">
        <f>F600</f>
        <v>9738</v>
      </c>
      <c r="G599" s="306"/>
      <c r="H599" s="522">
        <f>H600</f>
        <v>9738</v>
      </c>
      <c r="I599" s="522"/>
      <c r="J599" s="522">
        <f>J600</f>
        <v>9738</v>
      </c>
      <c r="K599" s="522"/>
      <c r="L599" s="154"/>
      <c r="N599" s="154"/>
      <c r="O599" s="154"/>
    </row>
    <row r="600" spans="1:24" s="138" customFormat="1" ht="47.25" x14ac:dyDescent="0.25">
      <c r="A600" s="375" t="s">
        <v>41</v>
      </c>
      <c r="B600" s="191" t="s">
        <v>5</v>
      </c>
      <c r="C600" s="4" t="s">
        <v>5</v>
      </c>
      <c r="D600" s="156" t="s">
        <v>546</v>
      </c>
      <c r="E600" s="326">
        <v>100</v>
      </c>
      <c r="F600" s="159">
        <f>F601</f>
        <v>9738</v>
      </c>
      <c r="G600" s="306"/>
      <c r="H600" s="522">
        <f>H601</f>
        <v>9738</v>
      </c>
      <c r="I600" s="522"/>
      <c r="J600" s="522">
        <f>J601</f>
        <v>9738</v>
      </c>
      <c r="K600" s="522"/>
      <c r="L600" s="154"/>
      <c r="N600" s="154"/>
      <c r="O600" s="154"/>
    </row>
    <row r="601" spans="1:24" s="155" customFormat="1" x14ac:dyDescent="0.25">
      <c r="A601" s="375" t="s">
        <v>96</v>
      </c>
      <c r="B601" s="191" t="s">
        <v>5</v>
      </c>
      <c r="C601" s="4" t="s">
        <v>5</v>
      </c>
      <c r="D601" s="156" t="s">
        <v>546</v>
      </c>
      <c r="E601" s="326">
        <v>120</v>
      </c>
      <c r="F601" s="159">
        <f>'ведом. 2025-2027'!AD1049</f>
        <v>9738</v>
      </c>
      <c r="G601" s="306"/>
      <c r="H601" s="522">
        <f>'ведом. 2025-2027'!AE1049</f>
        <v>9738</v>
      </c>
      <c r="I601" s="522"/>
      <c r="J601" s="522">
        <f>'ведом. 2025-2027'!AF1049</f>
        <v>9738</v>
      </c>
      <c r="K601" s="522"/>
      <c r="L601" s="154"/>
      <c r="N601" s="154"/>
      <c r="O601" s="154"/>
      <c r="R601" s="21"/>
      <c r="S601" s="207"/>
      <c r="T601" s="208"/>
      <c r="U601" s="208"/>
      <c r="V601" s="209"/>
      <c r="W601" s="209"/>
      <c r="X601" s="210"/>
    </row>
    <row r="602" spans="1:24" s="155" customFormat="1" x14ac:dyDescent="0.25">
      <c r="A602" s="254" t="s">
        <v>39</v>
      </c>
      <c r="B602" s="193" t="s">
        <v>95</v>
      </c>
      <c r="C602" s="4"/>
      <c r="D602" s="26"/>
      <c r="E602" s="326"/>
      <c r="F602" s="159">
        <f>F603+F613</f>
        <v>825104</v>
      </c>
      <c r="G602" s="522">
        <f>G603+G613</f>
        <v>816710.4</v>
      </c>
      <c r="H602" s="522">
        <f>H603+H613</f>
        <v>134</v>
      </c>
      <c r="I602" s="522"/>
      <c r="J602" s="522">
        <f>J603+J613</f>
        <v>134</v>
      </c>
      <c r="K602" s="522"/>
      <c r="L602" s="154"/>
      <c r="N602" s="154"/>
      <c r="O602" s="154"/>
      <c r="R602" s="21"/>
      <c r="S602" s="207"/>
      <c r="T602" s="208"/>
      <c r="U602" s="208"/>
      <c r="V602" s="209"/>
      <c r="W602" s="209"/>
      <c r="X602" s="210"/>
    </row>
    <row r="603" spans="1:24" s="155" customFormat="1" x14ac:dyDescent="0.25">
      <c r="A603" s="253" t="s">
        <v>92</v>
      </c>
      <c r="B603" s="15" t="s">
        <v>95</v>
      </c>
      <c r="C603" s="1" t="s">
        <v>30</v>
      </c>
      <c r="D603" s="26"/>
      <c r="E603" s="326"/>
      <c r="F603" s="159">
        <f t="shared" ref="F603:F611" si="159">F604</f>
        <v>824970</v>
      </c>
      <c r="G603" s="159">
        <f t="shared" ref="G603:H611" si="160">G604</f>
        <v>816710.4</v>
      </c>
      <c r="H603" s="522">
        <f t="shared" si="160"/>
        <v>0</v>
      </c>
      <c r="I603" s="522"/>
      <c r="J603" s="522">
        <f t="shared" ref="J603:J611" si="161">J604</f>
        <v>0</v>
      </c>
      <c r="K603" s="522"/>
      <c r="L603" s="154"/>
      <c r="N603" s="154"/>
      <c r="O603" s="154"/>
      <c r="R603" s="21"/>
      <c r="S603" s="207"/>
      <c r="T603" s="208"/>
      <c r="U603" s="208"/>
      <c r="V603" s="209"/>
      <c r="W603" s="209"/>
      <c r="X603" s="210"/>
    </row>
    <row r="604" spans="1:24" s="155" customFormat="1" ht="31.5" x14ac:dyDescent="0.25">
      <c r="A604" s="255" t="s">
        <v>596</v>
      </c>
      <c r="B604" s="15" t="s">
        <v>95</v>
      </c>
      <c r="C604" s="1" t="s">
        <v>30</v>
      </c>
      <c r="D604" s="409" t="s">
        <v>111</v>
      </c>
      <c r="E604" s="4"/>
      <c r="F604" s="159">
        <f>F605</f>
        <v>824970</v>
      </c>
      <c r="G604" s="522">
        <f t="shared" si="160"/>
        <v>816710.4</v>
      </c>
      <c r="H604" s="522">
        <f t="shared" si="160"/>
        <v>0</v>
      </c>
      <c r="I604" s="522"/>
      <c r="J604" s="522">
        <f t="shared" si="161"/>
        <v>0</v>
      </c>
      <c r="K604" s="522"/>
      <c r="L604" s="154"/>
      <c r="N604" s="154"/>
      <c r="O604" s="154"/>
      <c r="R604" s="21"/>
      <c r="S604" s="207"/>
      <c r="T604" s="208"/>
      <c r="U604" s="208"/>
      <c r="V604" s="209"/>
      <c r="W604" s="209"/>
      <c r="X604" s="210"/>
    </row>
    <row r="605" spans="1:24" s="155" customFormat="1" x14ac:dyDescent="0.25">
      <c r="A605" s="255" t="s">
        <v>588</v>
      </c>
      <c r="B605" s="15" t="s">
        <v>95</v>
      </c>
      <c r="C605" s="1" t="s">
        <v>30</v>
      </c>
      <c r="D605" s="409" t="s">
        <v>589</v>
      </c>
      <c r="E605" s="4"/>
      <c r="F605" s="159">
        <f>F606+F610</f>
        <v>824970</v>
      </c>
      <c r="G605" s="522">
        <f t="shared" ref="G605:J605" si="162">G606+G610</f>
        <v>816710.4</v>
      </c>
      <c r="H605" s="522">
        <f t="shared" si="162"/>
        <v>0</v>
      </c>
      <c r="I605" s="522"/>
      <c r="J605" s="522">
        <f t="shared" si="162"/>
        <v>0</v>
      </c>
      <c r="K605" s="522"/>
      <c r="L605" s="154"/>
      <c r="N605" s="154"/>
      <c r="O605" s="154"/>
      <c r="R605" s="21"/>
      <c r="S605" s="207"/>
      <c r="T605" s="208"/>
      <c r="U605" s="208"/>
      <c r="V605" s="209"/>
      <c r="W605" s="209"/>
      <c r="X605" s="210"/>
    </row>
    <row r="606" spans="1:24" s="155" customFormat="1" ht="47.25" x14ac:dyDescent="0.25">
      <c r="A606" s="558" t="s">
        <v>757</v>
      </c>
      <c r="B606" s="474" t="s">
        <v>95</v>
      </c>
      <c r="C606" s="453" t="s">
        <v>30</v>
      </c>
      <c r="D606" s="542" t="s">
        <v>758</v>
      </c>
      <c r="E606" s="454"/>
      <c r="F606" s="522">
        <f>F607</f>
        <v>10</v>
      </c>
      <c r="G606" s="522"/>
      <c r="H606" s="522">
        <f t="shared" ref="H606:J608" si="163">H607</f>
        <v>0</v>
      </c>
      <c r="I606" s="522"/>
      <c r="J606" s="522">
        <f t="shared" si="163"/>
        <v>0</v>
      </c>
      <c r="K606" s="522"/>
      <c r="L606" s="521"/>
      <c r="N606" s="521"/>
      <c r="O606" s="521"/>
      <c r="R606" s="21"/>
      <c r="S606" s="207"/>
      <c r="T606" s="208"/>
      <c r="U606" s="208"/>
      <c r="V606" s="209"/>
      <c r="W606" s="209"/>
      <c r="X606" s="210"/>
    </row>
    <row r="607" spans="1:24" s="155" customFormat="1" ht="31.5" x14ac:dyDescent="0.25">
      <c r="A607" s="558" t="s">
        <v>755</v>
      </c>
      <c r="B607" s="474" t="s">
        <v>95</v>
      </c>
      <c r="C607" s="453" t="s">
        <v>30</v>
      </c>
      <c r="D607" s="542" t="s">
        <v>756</v>
      </c>
      <c r="E607" s="454"/>
      <c r="F607" s="522">
        <f>F608</f>
        <v>10</v>
      </c>
      <c r="G607" s="522"/>
      <c r="H607" s="522">
        <f t="shared" si="163"/>
        <v>0</v>
      </c>
      <c r="I607" s="522"/>
      <c r="J607" s="522">
        <f t="shared" si="163"/>
        <v>0</v>
      </c>
      <c r="K607" s="522"/>
      <c r="L607" s="521"/>
      <c r="N607" s="521"/>
      <c r="O607" s="521"/>
      <c r="R607" s="21"/>
      <c r="S607" s="207"/>
      <c r="T607" s="208"/>
      <c r="U607" s="208"/>
      <c r="V607" s="209"/>
      <c r="W607" s="209"/>
      <c r="X607" s="210"/>
    </row>
    <row r="608" spans="1:24" s="155" customFormat="1" x14ac:dyDescent="0.25">
      <c r="A608" s="479" t="s">
        <v>120</v>
      </c>
      <c r="B608" s="474" t="s">
        <v>95</v>
      </c>
      <c r="C608" s="453" t="s">
        <v>30</v>
      </c>
      <c r="D608" s="542" t="s">
        <v>756</v>
      </c>
      <c r="E608" s="454">
        <v>200</v>
      </c>
      <c r="F608" s="522">
        <f>F609</f>
        <v>10</v>
      </c>
      <c r="G608" s="522"/>
      <c r="H608" s="522">
        <f t="shared" si="163"/>
        <v>0</v>
      </c>
      <c r="I608" s="522"/>
      <c r="J608" s="522">
        <f t="shared" si="163"/>
        <v>0</v>
      </c>
      <c r="K608" s="522"/>
      <c r="L608" s="521"/>
      <c r="N608" s="521"/>
      <c r="O608" s="521"/>
      <c r="R608" s="21"/>
      <c r="S608" s="207"/>
      <c r="T608" s="208"/>
      <c r="U608" s="208"/>
      <c r="V608" s="209"/>
      <c r="W608" s="209"/>
      <c r="X608" s="210"/>
    </row>
    <row r="609" spans="1:24" s="155" customFormat="1" ht="16.5" customHeight="1" x14ac:dyDescent="0.25">
      <c r="A609" s="479" t="s">
        <v>52</v>
      </c>
      <c r="B609" s="474" t="s">
        <v>95</v>
      </c>
      <c r="C609" s="453" t="s">
        <v>30</v>
      </c>
      <c r="D609" s="542" t="s">
        <v>756</v>
      </c>
      <c r="E609" s="454">
        <v>240</v>
      </c>
      <c r="F609" s="522">
        <f>'ведом. 2025-2027'!AD1057</f>
        <v>10</v>
      </c>
      <c r="G609" s="522"/>
      <c r="H609" s="522">
        <f>'ведом. 2025-2027'!AE1057</f>
        <v>0</v>
      </c>
      <c r="I609" s="522"/>
      <c r="J609" s="522">
        <f>'ведом. 2025-2027'!AF1057</f>
        <v>0</v>
      </c>
      <c r="K609" s="522"/>
      <c r="L609" s="521"/>
      <c r="N609" s="521"/>
      <c r="O609" s="521"/>
      <c r="R609" s="21"/>
      <c r="S609" s="207"/>
      <c r="T609" s="208"/>
      <c r="U609" s="208"/>
      <c r="V609" s="209"/>
      <c r="W609" s="209"/>
      <c r="X609" s="210"/>
    </row>
    <row r="610" spans="1:24" s="155" customFormat="1" ht="47.25" x14ac:dyDescent="0.25">
      <c r="A610" s="562" t="s">
        <v>775</v>
      </c>
      <c r="B610" s="15" t="s">
        <v>95</v>
      </c>
      <c r="C610" s="1" t="s">
        <v>30</v>
      </c>
      <c r="D610" s="542" t="s">
        <v>776</v>
      </c>
      <c r="E610" s="185"/>
      <c r="F610" s="159">
        <f t="shared" si="159"/>
        <v>824960</v>
      </c>
      <c r="G610" s="159">
        <f t="shared" si="160"/>
        <v>816710.4</v>
      </c>
      <c r="H610" s="522">
        <f t="shared" si="160"/>
        <v>0</v>
      </c>
      <c r="I610" s="522"/>
      <c r="J610" s="522">
        <f t="shared" si="161"/>
        <v>0</v>
      </c>
      <c r="K610" s="522"/>
      <c r="L610" s="154"/>
      <c r="N610" s="154"/>
      <c r="O610" s="154"/>
      <c r="R610" s="21"/>
      <c r="S610" s="207"/>
      <c r="T610" s="208"/>
      <c r="U610" s="208"/>
      <c r="V610" s="209"/>
      <c r="W610" s="209"/>
      <c r="X610" s="210"/>
    </row>
    <row r="611" spans="1:24" s="155" customFormat="1" x14ac:dyDescent="0.25">
      <c r="A611" s="379" t="s">
        <v>153</v>
      </c>
      <c r="B611" s="15" t="s">
        <v>95</v>
      </c>
      <c r="C611" s="1" t="s">
        <v>30</v>
      </c>
      <c r="D611" s="542" t="s">
        <v>776</v>
      </c>
      <c r="E611" s="185" t="s">
        <v>154</v>
      </c>
      <c r="F611" s="159">
        <f t="shared" si="159"/>
        <v>824960</v>
      </c>
      <c r="G611" s="159">
        <f t="shared" si="160"/>
        <v>816710.4</v>
      </c>
      <c r="H611" s="522">
        <f t="shared" si="160"/>
        <v>0</v>
      </c>
      <c r="I611" s="522"/>
      <c r="J611" s="522">
        <f t="shared" si="161"/>
        <v>0</v>
      </c>
      <c r="K611" s="522"/>
      <c r="L611" s="154"/>
      <c r="N611" s="154"/>
      <c r="O611" s="154"/>
      <c r="R611" s="21"/>
      <c r="S611" s="207"/>
      <c r="T611" s="208"/>
      <c r="U611" s="208"/>
      <c r="V611" s="209"/>
      <c r="W611" s="209"/>
      <c r="X611" s="210"/>
    </row>
    <row r="612" spans="1:24" s="155" customFormat="1" x14ac:dyDescent="0.25">
      <c r="A612" s="253" t="s">
        <v>9</v>
      </c>
      <c r="B612" s="15" t="s">
        <v>95</v>
      </c>
      <c r="C612" s="1" t="s">
        <v>30</v>
      </c>
      <c r="D612" s="542" t="s">
        <v>776</v>
      </c>
      <c r="E612" s="185" t="s">
        <v>155</v>
      </c>
      <c r="F612" s="159">
        <f>'ведом. 2025-2027'!AD1060</f>
        <v>824960</v>
      </c>
      <c r="G612" s="306">
        <v>816710.4</v>
      </c>
      <c r="H612" s="522">
        <f>'ведом. 2025-2027'!AE1060</f>
        <v>0</v>
      </c>
      <c r="I612" s="522"/>
      <c r="J612" s="522">
        <f>'ведом. 2025-2027'!AF1060</f>
        <v>0</v>
      </c>
      <c r="K612" s="522"/>
      <c r="L612" s="154"/>
      <c r="N612" s="154"/>
      <c r="O612" s="154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523" t="s">
        <v>691</v>
      </c>
      <c r="B613" s="15" t="s">
        <v>95</v>
      </c>
      <c r="C613" s="516" t="s">
        <v>5</v>
      </c>
      <c r="D613" s="291"/>
      <c r="E613" s="526"/>
      <c r="F613" s="522">
        <f t="shared" ref="F613:F618" si="164">F614</f>
        <v>134</v>
      </c>
      <c r="G613" s="522"/>
      <c r="H613" s="522">
        <f t="shared" ref="H613:J618" si="165">H614</f>
        <v>134</v>
      </c>
      <c r="I613" s="522"/>
      <c r="J613" s="522">
        <f t="shared" si="165"/>
        <v>134</v>
      </c>
      <c r="K613" s="522"/>
      <c r="L613" s="521"/>
      <c r="N613" s="521"/>
      <c r="O613" s="521"/>
      <c r="R613" s="21"/>
      <c r="S613" s="207"/>
      <c r="T613" s="208"/>
      <c r="U613" s="208"/>
      <c r="V613" s="209"/>
      <c r="W613" s="209"/>
      <c r="X613" s="210"/>
    </row>
    <row r="614" spans="1:24" s="155" customFormat="1" x14ac:dyDescent="0.25">
      <c r="A614" s="523" t="s">
        <v>692</v>
      </c>
      <c r="B614" s="15" t="s">
        <v>95</v>
      </c>
      <c r="C614" s="516" t="s">
        <v>5</v>
      </c>
      <c r="D614" s="291" t="s">
        <v>693</v>
      </c>
      <c r="E614" s="526"/>
      <c r="F614" s="522">
        <f t="shared" si="164"/>
        <v>134</v>
      </c>
      <c r="G614" s="522"/>
      <c r="H614" s="522">
        <f t="shared" si="165"/>
        <v>134</v>
      </c>
      <c r="I614" s="522"/>
      <c r="J614" s="522">
        <f t="shared" si="165"/>
        <v>134</v>
      </c>
      <c r="K614" s="522"/>
      <c r="L614" s="521"/>
      <c r="N614" s="521"/>
      <c r="O614" s="521"/>
      <c r="R614" s="21"/>
      <c r="S614" s="207"/>
      <c r="T614" s="208"/>
      <c r="U614" s="208"/>
      <c r="V614" s="209"/>
      <c r="W614" s="209"/>
      <c r="X614" s="210"/>
    </row>
    <row r="615" spans="1:24" s="155" customFormat="1" x14ac:dyDescent="0.25">
      <c r="A615" s="523" t="s">
        <v>694</v>
      </c>
      <c r="B615" s="15" t="s">
        <v>95</v>
      </c>
      <c r="C615" s="516" t="s">
        <v>5</v>
      </c>
      <c r="D615" s="291" t="s">
        <v>695</v>
      </c>
      <c r="E615" s="526"/>
      <c r="F615" s="522">
        <f t="shared" si="164"/>
        <v>134</v>
      </c>
      <c r="G615" s="522"/>
      <c r="H615" s="522">
        <f t="shared" si="165"/>
        <v>134</v>
      </c>
      <c r="I615" s="522"/>
      <c r="J615" s="522">
        <f t="shared" si="165"/>
        <v>134</v>
      </c>
      <c r="K615" s="522"/>
      <c r="L615" s="521"/>
      <c r="N615" s="521"/>
      <c r="O615" s="521"/>
      <c r="R615" s="21"/>
      <c r="S615" s="207"/>
      <c r="T615" s="208"/>
      <c r="U615" s="208"/>
      <c r="V615" s="209"/>
      <c r="W615" s="209"/>
      <c r="X615" s="210"/>
    </row>
    <row r="616" spans="1:24" s="155" customFormat="1" x14ac:dyDescent="0.25">
      <c r="A616" s="523" t="s">
        <v>696</v>
      </c>
      <c r="B616" s="15" t="s">
        <v>95</v>
      </c>
      <c r="C616" s="516" t="s">
        <v>5</v>
      </c>
      <c r="D616" s="291" t="s">
        <v>697</v>
      </c>
      <c r="E616" s="526"/>
      <c r="F616" s="522">
        <f t="shared" si="164"/>
        <v>134</v>
      </c>
      <c r="G616" s="522"/>
      <c r="H616" s="522">
        <f t="shared" si="165"/>
        <v>134</v>
      </c>
      <c r="I616" s="522"/>
      <c r="J616" s="522">
        <f t="shared" si="165"/>
        <v>134</v>
      </c>
      <c r="K616" s="522"/>
      <c r="L616" s="521"/>
      <c r="N616" s="521"/>
      <c r="O616" s="521"/>
      <c r="R616" s="21"/>
      <c r="S616" s="207"/>
      <c r="T616" s="208"/>
      <c r="U616" s="208"/>
      <c r="V616" s="209"/>
      <c r="W616" s="209"/>
      <c r="X616" s="210"/>
    </row>
    <row r="617" spans="1:24" s="155" customFormat="1" ht="31.5" x14ac:dyDescent="0.25">
      <c r="A617" s="523" t="s">
        <v>750</v>
      </c>
      <c r="B617" s="15" t="s">
        <v>95</v>
      </c>
      <c r="C617" s="516" t="s">
        <v>5</v>
      </c>
      <c r="D617" s="291" t="s">
        <v>698</v>
      </c>
      <c r="E617" s="526"/>
      <c r="F617" s="522">
        <f t="shared" si="164"/>
        <v>134</v>
      </c>
      <c r="G617" s="522"/>
      <c r="H617" s="522">
        <f t="shared" si="165"/>
        <v>134</v>
      </c>
      <c r="I617" s="522"/>
      <c r="J617" s="522">
        <f t="shared" si="165"/>
        <v>134</v>
      </c>
      <c r="K617" s="522"/>
      <c r="L617" s="521"/>
      <c r="N617" s="521"/>
      <c r="O617" s="521"/>
      <c r="R617" s="21"/>
      <c r="S617" s="207"/>
      <c r="T617" s="208"/>
      <c r="U617" s="208"/>
      <c r="V617" s="209"/>
      <c r="W617" s="209"/>
      <c r="X617" s="210"/>
    </row>
    <row r="618" spans="1:24" s="155" customFormat="1" ht="31.5" x14ac:dyDescent="0.25">
      <c r="A618" s="377" t="s">
        <v>60</v>
      </c>
      <c r="B618" s="15" t="s">
        <v>95</v>
      </c>
      <c r="C618" s="516" t="s">
        <v>5</v>
      </c>
      <c r="D618" s="291" t="s">
        <v>698</v>
      </c>
      <c r="E618" s="526">
        <v>600</v>
      </c>
      <c r="F618" s="522">
        <f t="shared" si="164"/>
        <v>134</v>
      </c>
      <c r="G618" s="522"/>
      <c r="H618" s="522">
        <f t="shared" si="165"/>
        <v>134</v>
      </c>
      <c r="I618" s="522"/>
      <c r="J618" s="522">
        <f t="shared" si="165"/>
        <v>134</v>
      </c>
      <c r="K618" s="522"/>
      <c r="L618" s="521"/>
      <c r="N618" s="521"/>
      <c r="O618" s="521"/>
      <c r="R618" s="21"/>
      <c r="S618" s="207"/>
      <c r="T618" s="208"/>
      <c r="U618" s="208"/>
      <c r="V618" s="209"/>
      <c r="W618" s="209"/>
      <c r="X618" s="210"/>
    </row>
    <row r="619" spans="1:24" s="155" customFormat="1" x14ac:dyDescent="0.25">
      <c r="A619" s="523" t="s">
        <v>61</v>
      </c>
      <c r="B619" s="15" t="s">
        <v>95</v>
      </c>
      <c r="C619" s="516" t="s">
        <v>5</v>
      </c>
      <c r="D619" s="291" t="s">
        <v>698</v>
      </c>
      <c r="E619" s="526">
        <v>610</v>
      </c>
      <c r="F619" s="522">
        <f>'ведом. 2025-2027'!AD359</f>
        <v>134</v>
      </c>
      <c r="G619" s="524"/>
      <c r="H619" s="522">
        <f>'ведом. 2025-2027'!AE359</f>
        <v>134</v>
      </c>
      <c r="I619" s="522"/>
      <c r="J619" s="522">
        <f>'ведом. 2025-2027'!AF359</f>
        <v>134</v>
      </c>
      <c r="K619" s="522"/>
      <c r="L619" s="521"/>
      <c r="N619" s="521"/>
      <c r="O619" s="521"/>
      <c r="R619" s="21"/>
      <c r="S619" s="207"/>
      <c r="T619" s="208"/>
      <c r="U619" s="208"/>
      <c r="V619" s="209"/>
      <c r="W619" s="209"/>
      <c r="X619" s="210"/>
    </row>
    <row r="620" spans="1:24" s="138" customFormat="1" x14ac:dyDescent="0.25">
      <c r="A620" s="384" t="s">
        <v>4</v>
      </c>
      <c r="B620" s="193" t="s">
        <v>8</v>
      </c>
      <c r="C620" s="183"/>
      <c r="D620" s="280"/>
      <c r="E620" s="330"/>
      <c r="F620" s="161">
        <f t="shared" ref="F620:K620" si="166">F621+F645+F715+F757+F781</f>
        <v>1567720.3</v>
      </c>
      <c r="G620" s="347">
        <f t="shared" si="166"/>
        <v>903282.20000000007</v>
      </c>
      <c r="H620" s="161">
        <f t="shared" si="166"/>
        <v>1344677</v>
      </c>
      <c r="I620" s="161">
        <f t="shared" si="166"/>
        <v>881357.4</v>
      </c>
      <c r="J620" s="161">
        <f t="shared" si="166"/>
        <v>1341475.8</v>
      </c>
      <c r="K620" s="161">
        <f t="shared" si="166"/>
        <v>869933.4</v>
      </c>
      <c r="L620" s="154"/>
      <c r="N620" s="154"/>
      <c r="O620" s="154"/>
    </row>
    <row r="621" spans="1:24" s="138" customFormat="1" x14ac:dyDescent="0.25">
      <c r="A621" s="375" t="s">
        <v>19</v>
      </c>
      <c r="B621" s="191" t="s">
        <v>8</v>
      </c>
      <c r="C621" s="4" t="s">
        <v>29</v>
      </c>
      <c r="D621" s="156"/>
      <c r="E621" s="325"/>
      <c r="F621" s="159">
        <f t="shared" ref="F621:K622" si="167">F622</f>
        <v>474870.8</v>
      </c>
      <c r="G621" s="306">
        <f t="shared" si="167"/>
        <v>273418</v>
      </c>
      <c r="H621" s="522">
        <f t="shared" si="167"/>
        <v>461823.3</v>
      </c>
      <c r="I621" s="522">
        <f t="shared" si="167"/>
        <v>273752</v>
      </c>
      <c r="J621" s="522">
        <f t="shared" si="167"/>
        <v>467723.5</v>
      </c>
      <c r="K621" s="522">
        <f t="shared" si="167"/>
        <v>273752</v>
      </c>
      <c r="L621" s="154"/>
      <c r="N621" s="154"/>
      <c r="O621" s="154"/>
    </row>
    <row r="622" spans="1:24" s="177" customFormat="1" x14ac:dyDescent="0.25">
      <c r="A622" s="385" t="s">
        <v>262</v>
      </c>
      <c r="B622" s="196" t="s">
        <v>8</v>
      </c>
      <c r="C622" s="4" t="s">
        <v>29</v>
      </c>
      <c r="D622" s="156" t="s">
        <v>100</v>
      </c>
      <c r="E622" s="325"/>
      <c r="F622" s="159">
        <f t="shared" si="167"/>
        <v>474870.8</v>
      </c>
      <c r="G622" s="306">
        <f t="shared" si="167"/>
        <v>273418</v>
      </c>
      <c r="H622" s="522">
        <f t="shared" si="167"/>
        <v>461823.3</v>
      </c>
      <c r="I622" s="522">
        <f t="shared" si="167"/>
        <v>273752</v>
      </c>
      <c r="J622" s="522">
        <f t="shared" si="167"/>
        <v>467723.5</v>
      </c>
      <c r="K622" s="522">
        <f t="shared" si="167"/>
        <v>273752</v>
      </c>
      <c r="L622" s="154"/>
      <c r="N622" s="154"/>
      <c r="O622" s="154"/>
    </row>
    <row r="623" spans="1:24" s="138" customFormat="1" x14ac:dyDescent="0.25">
      <c r="A623" s="255" t="s">
        <v>265</v>
      </c>
      <c r="B623" s="196" t="s">
        <v>8</v>
      </c>
      <c r="C623" s="4" t="s">
        <v>29</v>
      </c>
      <c r="D623" s="156" t="s">
        <v>117</v>
      </c>
      <c r="E623" s="326"/>
      <c r="F623" s="159">
        <f>F624+F641</f>
        <v>474870.8</v>
      </c>
      <c r="G623" s="522">
        <f t="shared" ref="G623:K623" si="168">G624+G641</f>
        <v>273418</v>
      </c>
      <c r="H623" s="522">
        <f t="shared" si="168"/>
        <v>461823.3</v>
      </c>
      <c r="I623" s="522">
        <f t="shared" si="168"/>
        <v>273752</v>
      </c>
      <c r="J623" s="522">
        <f t="shared" si="168"/>
        <v>467723.5</v>
      </c>
      <c r="K623" s="522">
        <f t="shared" si="168"/>
        <v>273752</v>
      </c>
      <c r="L623" s="154"/>
      <c r="N623" s="154"/>
      <c r="O623" s="154"/>
    </row>
    <row r="624" spans="1:24" s="138" customFormat="1" ht="31.5" x14ac:dyDescent="0.25">
      <c r="A624" s="255" t="s">
        <v>447</v>
      </c>
      <c r="B624" s="196" t="s">
        <v>8</v>
      </c>
      <c r="C624" s="4" t="s">
        <v>29</v>
      </c>
      <c r="D624" s="156" t="s">
        <v>446</v>
      </c>
      <c r="E624" s="326"/>
      <c r="F624" s="159">
        <f>F625+F632+F635+F638</f>
        <v>472707.8</v>
      </c>
      <c r="G624" s="522">
        <f t="shared" ref="G624:K624" si="169">G625+G632+G635+G638</f>
        <v>271255</v>
      </c>
      <c r="H624" s="522">
        <f t="shared" si="169"/>
        <v>461823.3</v>
      </c>
      <c r="I624" s="522">
        <f t="shared" si="169"/>
        <v>273752</v>
      </c>
      <c r="J624" s="522">
        <f t="shared" si="169"/>
        <v>467723.5</v>
      </c>
      <c r="K624" s="522">
        <f t="shared" si="169"/>
        <v>273752</v>
      </c>
      <c r="L624" s="154"/>
      <c r="N624" s="154"/>
      <c r="O624" s="154"/>
    </row>
    <row r="625" spans="1:15" s="138" customFormat="1" ht="31.5" x14ac:dyDescent="0.25">
      <c r="A625" s="375" t="s">
        <v>264</v>
      </c>
      <c r="B625" s="196" t="s">
        <v>8</v>
      </c>
      <c r="C625" s="4" t="s">
        <v>29</v>
      </c>
      <c r="D625" s="156" t="s">
        <v>449</v>
      </c>
      <c r="E625" s="341"/>
      <c r="F625" s="159">
        <f>F626+F629</f>
        <v>201452.79999999999</v>
      </c>
      <c r="G625" s="159"/>
      <c r="H625" s="522">
        <f>H626</f>
        <v>188071.3</v>
      </c>
      <c r="I625" s="522"/>
      <c r="J625" s="522">
        <f>J626</f>
        <v>193971.5</v>
      </c>
      <c r="K625" s="522"/>
      <c r="L625" s="154"/>
      <c r="N625" s="154"/>
      <c r="O625" s="154"/>
    </row>
    <row r="626" spans="1:15" s="138" customFormat="1" ht="31.5" x14ac:dyDescent="0.25">
      <c r="A626" s="375" t="s">
        <v>333</v>
      </c>
      <c r="B626" s="196" t="s">
        <v>8</v>
      </c>
      <c r="C626" s="4" t="s">
        <v>29</v>
      </c>
      <c r="D626" s="156" t="s">
        <v>450</v>
      </c>
      <c r="E626" s="326"/>
      <c r="F626" s="159">
        <f>F627</f>
        <v>184081.8</v>
      </c>
      <c r="G626" s="306"/>
      <c r="H626" s="522">
        <f>H627</f>
        <v>188071.3</v>
      </c>
      <c r="I626" s="522"/>
      <c r="J626" s="522">
        <f>J627</f>
        <v>193971.5</v>
      </c>
      <c r="K626" s="522"/>
      <c r="L626" s="154"/>
      <c r="N626" s="154"/>
      <c r="O626" s="154"/>
    </row>
    <row r="627" spans="1:15" s="138" customFormat="1" ht="31.5" x14ac:dyDescent="0.25">
      <c r="A627" s="375" t="s">
        <v>60</v>
      </c>
      <c r="B627" s="196" t="s">
        <v>8</v>
      </c>
      <c r="C627" s="4" t="s">
        <v>29</v>
      </c>
      <c r="D627" s="156" t="s">
        <v>450</v>
      </c>
      <c r="E627" s="326">
        <v>600</v>
      </c>
      <c r="F627" s="159">
        <f>F628</f>
        <v>184081.8</v>
      </c>
      <c r="G627" s="306"/>
      <c r="H627" s="522">
        <f>H628</f>
        <v>188071.3</v>
      </c>
      <c r="I627" s="522"/>
      <c r="J627" s="522">
        <f>J628</f>
        <v>193971.5</v>
      </c>
      <c r="K627" s="522"/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29</v>
      </c>
      <c r="D628" s="156" t="s">
        <v>450</v>
      </c>
      <c r="E628" s="326">
        <v>610</v>
      </c>
      <c r="F628" s="159">
        <f>'ведом. 2025-2027'!AD681</f>
        <v>184081.8</v>
      </c>
      <c r="G628" s="306"/>
      <c r="H628" s="522">
        <f>'ведом. 2025-2027'!AE681</f>
        <v>188071.3</v>
      </c>
      <c r="I628" s="522"/>
      <c r="J628" s="522">
        <f>'ведом. 2025-2027'!AF681</f>
        <v>193971.5</v>
      </c>
      <c r="K628" s="522"/>
      <c r="L628" s="154"/>
      <c r="N628" s="154"/>
      <c r="O628" s="154"/>
    </row>
    <row r="629" spans="1:15" s="519" customFormat="1" ht="47.25" x14ac:dyDescent="0.25">
      <c r="A629" s="451" t="s">
        <v>725</v>
      </c>
      <c r="B629" s="477" t="s">
        <v>8</v>
      </c>
      <c r="C629" s="453" t="s">
        <v>29</v>
      </c>
      <c r="D629" s="542" t="s">
        <v>820</v>
      </c>
      <c r="E629" s="454"/>
      <c r="F629" s="522">
        <f>F630</f>
        <v>17371</v>
      </c>
      <c r="G629" s="522"/>
      <c r="H629" s="522">
        <f t="shared" ref="H629:J630" si="170">H630</f>
        <v>0</v>
      </c>
      <c r="I629" s="522"/>
      <c r="J629" s="522">
        <f t="shared" si="170"/>
        <v>0</v>
      </c>
      <c r="K629" s="522"/>
      <c r="L629" s="521"/>
      <c r="N629" s="521"/>
      <c r="O629" s="521"/>
    </row>
    <row r="630" spans="1:15" s="519" customFormat="1" ht="31.5" x14ac:dyDescent="0.25">
      <c r="A630" s="451" t="s">
        <v>60</v>
      </c>
      <c r="B630" s="477" t="s">
        <v>8</v>
      </c>
      <c r="C630" s="453" t="s">
        <v>29</v>
      </c>
      <c r="D630" s="542" t="s">
        <v>820</v>
      </c>
      <c r="E630" s="454">
        <v>600</v>
      </c>
      <c r="F630" s="522">
        <f>F631</f>
        <v>17371</v>
      </c>
      <c r="G630" s="522"/>
      <c r="H630" s="522">
        <f t="shared" si="170"/>
        <v>0</v>
      </c>
      <c r="I630" s="522"/>
      <c r="J630" s="522">
        <f t="shared" si="170"/>
        <v>0</v>
      </c>
      <c r="K630" s="522"/>
      <c r="L630" s="521"/>
      <c r="N630" s="521"/>
      <c r="O630" s="521"/>
    </row>
    <row r="631" spans="1:15" s="519" customFormat="1" x14ac:dyDescent="0.25">
      <c r="A631" s="451" t="s">
        <v>61</v>
      </c>
      <c r="B631" s="453" t="s">
        <v>8</v>
      </c>
      <c r="C631" s="453" t="s">
        <v>29</v>
      </c>
      <c r="D631" s="542" t="s">
        <v>820</v>
      </c>
      <c r="E631" s="454">
        <v>610</v>
      </c>
      <c r="F631" s="522">
        <f>'ведом. 2025-2027'!AD684</f>
        <v>17371</v>
      </c>
      <c r="G631" s="524"/>
      <c r="H631" s="522">
        <f>'ведом. 2025-2027'!AE684</f>
        <v>0</v>
      </c>
      <c r="I631" s="522"/>
      <c r="J631" s="522">
        <f>'ведом. 2025-2027'!AF684</f>
        <v>0</v>
      </c>
      <c r="K631" s="522"/>
      <c r="L631" s="521"/>
      <c r="N631" s="521"/>
      <c r="O631" s="521"/>
    </row>
    <row r="632" spans="1:15" s="138" customFormat="1" ht="141.75" x14ac:dyDescent="0.25">
      <c r="A632" s="256" t="s">
        <v>399</v>
      </c>
      <c r="B632" s="192" t="s">
        <v>8</v>
      </c>
      <c r="C632" s="186" t="s">
        <v>29</v>
      </c>
      <c r="D632" s="156" t="s">
        <v>470</v>
      </c>
      <c r="E632" s="341"/>
      <c r="F632" s="159">
        <f t="shared" ref="F632:K633" si="171">F633</f>
        <v>256577</v>
      </c>
      <c r="G632" s="306">
        <f t="shared" si="171"/>
        <v>256577</v>
      </c>
      <c r="H632" s="522">
        <f t="shared" si="171"/>
        <v>249569</v>
      </c>
      <c r="I632" s="522">
        <f t="shared" si="171"/>
        <v>249569</v>
      </c>
      <c r="J632" s="522">
        <f t="shared" si="171"/>
        <v>249569</v>
      </c>
      <c r="K632" s="522">
        <f t="shared" si="171"/>
        <v>249569</v>
      </c>
      <c r="L632" s="154"/>
      <c r="N632" s="154"/>
      <c r="O632" s="154"/>
    </row>
    <row r="633" spans="1:15" s="138" customFormat="1" ht="31.5" x14ac:dyDescent="0.25">
      <c r="A633" s="375" t="s">
        <v>60</v>
      </c>
      <c r="B633" s="192" t="s">
        <v>8</v>
      </c>
      <c r="C633" s="186" t="s">
        <v>29</v>
      </c>
      <c r="D633" s="156" t="s">
        <v>470</v>
      </c>
      <c r="E633" s="325">
        <v>600</v>
      </c>
      <c r="F633" s="159">
        <f t="shared" si="171"/>
        <v>256577</v>
      </c>
      <c r="G633" s="306">
        <f t="shared" si="171"/>
        <v>256577</v>
      </c>
      <c r="H633" s="522">
        <f t="shared" si="171"/>
        <v>249569</v>
      </c>
      <c r="I633" s="522">
        <f t="shared" si="171"/>
        <v>249569</v>
      </c>
      <c r="J633" s="522">
        <f t="shared" si="171"/>
        <v>249569</v>
      </c>
      <c r="K633" s="522">
        <f t="shared" si="171"/>
        <v>249569</v>
      </c>
      <c r="L633" s="154"/>
      <c r="N633" s="154"/>
      <c r="O633" s="154"/>
    </row>
    <row r="634" spans="1:15" s="138" customFormat="1" x14ac:dyDescent="0.25">
      <c r="A634" s="375" t="s">
        <v>61</v>
      </c>
      <c r="B634" s="196" t="s">
        <v>8</v>
      </c>
      <c r="C634" s="4" t="s">
        <v>29</v>
      </c>
      <c r="D634" s="156" t="s">
        <v>470</v>
      </c>
      <c r="E634" s="325">
        <v>610</v>
      </c>
      <c r="F634" s="159">
        <f>'ведом. 2025-2027'!AD687</f>
        <v>256577</v>
      </c>
      <c r="G634" s="306">
        <f>F634</f>
        <v>256577</v>
      </c>
      <c r="H634" s="522">
        <f>'ведом. 2025-2027'!AE687</f>
        <v>249569</v>
      </c>
      <c r="I634" s="522">
        <f>H634</f>
        <v>249569</v>
      </c>
      <c r="J634" s="522">
        <f>'ведом. 2025-2027'!AF687</f>
        <v>249569</v>
      </c>
      <c r="K634" s="522">
        <f>J634</f>
        <v>249569</v>
      </c>
      <c r="L634" s="154"/>
      <c r="N634" s="154"/>
      <c r="O634" s="154"/>
    </row>
    <row r="635" spans="1:15" s="177" customFormat="1" ht="31.5" x14ac:dyDescent="0.25">
      <c r="A635" s="523" t="s">
        <v>770</v>
      </c>
      <c r="B635" s="8" t="s">
        <v>8</v>
      </c>
      <c r="C635" s="186" t="s">
        <v>29</v>
      </c>
      <c r="D635" s="291" t="s">
        <v>623</v>
      </c>
      <c r="E635" s="432"/>
      <c r="F635" s="159">
        <f t="shared" ref="F635:K636" si="172">F636</f>
        <v>200</v>
      </c>
      <c r="G635" s="159">
        <f t="shared" si="172"/>
        <v>200</v>
      </c>
      <c r="H635" s="522">
        <f t="shared" si="172"/>
        <v>200</v>
      </c>
      <c r="I635" s="522">
        <f t="shared" si="172"/>
        <v>200</v>
      </c>
      <c r="J635" s="522">
        <f t="shared" si="172"/>
        <v>200</v>
      </c>
      <c r="K635" s="522">
        <f t="shared" si="172"/>
        <v>200</v>
      </c>
      <c r="L635" s="154"/>
      <c r="N635" s="154"/>
      <c r="O635" s="154"/>
    </row>
    <row r="636" spans="1:15" s="177" customFormat="1" ht="31.5" x14ac:dyDescent="0.25">
      <c r="A636" s="253" t="s">
        <v>60</v>
      </c>
      <c r="B636" s="8" t="s">
        <v>8</v>
      </c>
      <c r="C636" s="186" t="s">
        <v>29</v>
      </c>
      <c r="D636" s="291" t="s">
        <v>623</v>
      </c>
      <c r="E636" s="407">
        <v>600</v>
      </c>
      <c r="F636" s="159">
        <f t="shared" si="172"/>
        <v>200</v>
      </c>
      <c r="G636" s="159">
        <f t="shared" si="172"/>
        <v>200</v>
      </c>
      <c r="H636" s="522">
        <f t="shared" si="172"/>
        <v>200</v>
      </c>
      <c r="I636" s="522">
        <f t="shared" si="172"/>
        <v>200</v>
      </c>
      <c r="J636" s="522">
        <f t="shared" si="172"/>
        <v>200</v>
      </c>
      <c r="K636" s="522">
        <f t="shared" si="172"/>
        <v>200</v>
      </c>
      <c r="L636" s="154"/>
      <c r="N636" s="154"/>
      <c r="O636" s="154"/>
    </row>
    <row r="637" spans="1:15" s="177" customFormat="1" x14ac:dyDescent="0.25">
      <c r="A637" s="253" t="s">
        <v>61</v>
      </c>
      <c r="B637" s="2" t="s">
        <v>8</v>
      </c>
      <c r="C637" s="4" t="s">
        <v>29</v>
      </c>
      <c r="D637" s="291" t="s">
        <v>623</v>
      </c>
      <c r="E637" s="407">
        <v>610</v>
      </c>
      <c r="F637" s="159">
        <f>'ведом. 2025-2027'!AD690</f>
        <v>200</v>
      </c>
      <c r="G637" s="306">
        <f>F637</f>
        <v>200</v>
      </c>
      <c r="H637" s="522">
        <f>'ведом. 2025-2027'!AE690</f>
        <v>200</v>
      </c>
      <c r="I637" s="522">
        <f>H637</f>
        <v>200</v>
      </c>
      <c r="J637" s="522">
        <f>'ведом. 2025-2027'!AF690</f>
        <v>200</v>
      </c>
      <c r="K637" s="522">
        <f>J637</f>
        <v>200</v>
      </c>
      <c r="L637" s="154"/>
      <c r="N637" s="154"/>
      <c r="O637" s="154"/>
    </row>
    <row r="638" spans="1:15" s="519" customFormat="1" ht="47.25" x14ac:dyDescent="0.25">
      <c r="A638" s="451" t="s">
        <v>777</v>
      </c>
      <c r="B638" s="477" t="s">
        <v>8</v>
      </c>
      <c r="C638" s="454" t="s">
        <v>29</v>
      </c>
      <c r="D638" s="455" t="s">
        <v>661</v>
      </c>
      <c r="E638" s="460"/>
      <c r="F638" s="522">
        <f>F639</f>
        <v>14478</v>
      </c>
      <c r="G638" s="522">
        <f t="shared" ref="G638:K639" si="173">G639</f>
        <v>14478</v>
      </c>
      <c r="H638" s="522">
        <f t="shared" si="173"/>
        <v>23983</v>
      </c>
      <c r="I638" s="522">
        <f t="shared" si="173"/>
        <v>23983</v>
      </c>
      <c r="J638" s="522">
        <f t="shared" si="173"/>
        <v>23983</v>
      </c>
      <c r="K638" s="522">
        <f t="shared" si="173"/>
        <v>23983</v>
      </c>
      <c r="L638" s="521"/>
      <c r="N638" s="521"/>
      <c r="O638" s="521"/>
    </row>
    <row r="639" spans="1:15" s="519" customFormat="1" ht="31.5" x14ac:dyDescent="0.25">
      <c r="A639" s="451" t="s">
        <v>60</v>
      </c>
      <c r="B639" s="477" t="s">
        <v>8</v>
      </c>
      <c r="C639" s="454" t="s">
        <v>29</v>
      </c>
      <c r="D639" s="455" t="s">
        <v>661</v>
      </c>
      <c r="E639" s="460">
        <v>600</v>
      </c>
      <c r="F639" s="522">
        <f>F640</f>
        <v>14478</v>
      </c>
      <c r="G639" s="522">
        <f t="shared" si="173"/>
        <v>14478</v>
      </c>
      <c r="H639" s="522">
        <f t="shared" si="173"/>
        <v>23983</v>
      </c>
      <c r="I639" s="522">
        <f t="shared" si="173"/>
        <v>23983</v>
      </c>
      <c r="J639" s="522">
        <f t="shared" si="173"/>
        <v>23983</v>
      </c>
      <c r="K639" s="522">
        <f t="shared" si="173"/>
        <v>23983</v>
      </c>
      <c r="L639" s="521"/>
      <c r="N639" s="521"/>
      <c r="O639" s="521"/>
    </row>
    <row r="640" spans="1:15" s="519" customFormat="1" x14ac:dyDescent="0.25">
      <c r="A640" s="451" t="s">
        <v>61</v>
      </c>
      <c r="B640" s="477" t="s">
        <v>8</v>
      </c>
      <c r="C640" s="454" t="s">
        <v>29</v>
      </c>
      <c r="D640" s="455" t="s">
        <v>661</v>
      </c>
      <c r="E640" s="460">
        <v>610</v>
      </c>
      <c r="F640" s="522">
        <f>'ведом. 2025-2027'!AD693</f>
        <v>14478</v>
      </c>
      <c r="G640" s="524">
        <f>F640</f>
        <v>14478</v>
      </c>
      <c r="H640" s="522">
        <f>'ведом. 2025-2027'!AE693</f>
        <v>23983</v>
      </c>
      <c r="I640" s="522">
        <f>H640</f>
        <v>23983</v>
      </c>
      <c r="J640" s="522">
        <f>'ведом. 2025-2027'!AF693</f>
        <v>23983</v>
      </c>
      <c r="K640" s="522">
        <f>J640</f>
        <v>23983</v>
      </c>
      <c r="L640" s="521"/>
      <c r="N640" s="521"/>
      <c r="O640" s="521"/>
    </row>
    <row r="641" spans="1:15" s="519" customFormat="1" ht="47.25" x14ac:dyDescent="0.25">
      <c r="A641" s="459" t="s">
        <v>267</v>
      </c>
      <c r="B641" s="477" t="s">
        <v>8</v>
      </c>
      <c r="C641" s="454" t="s">
        <v>29</v>
      </c>
      <c r="D641" s="458" t="s">
        <v>126</v>
      </c>
      <c r="E641" s="456"/>
      <c r="F641" s="522">
        <f>F642</f>
        <v>2163</v>
      </c>
      <c r="G641" s="522">
        <f t="shared" ref="G641:J643" si="174">G642</f>
        <v>2163</v>
      </c>
      <c r="H641" s="522">
        <f t="shared" si="174"/>
        <v>0</v>
      </c>
      <c r="I641" s="522"/>
      <c r="J641" s="522">
        <f t="shared" si="174"/>
        <v>0</v>
      </c>
      <c r="K641" s="522"/>
      <c r="L641" s="521"/>
      <c r="N641" s="521"/>
      <c r="O641" s="521"/>
    </row>
    <row r="642" spans="1:15" s="519" customFormat="1" ht="63" x14ac:dyDescent="0.25">
      <c r="A642" s="451" t="s">
        <v>798</v>
      </c>
      <c r="B642" s="477" t="s">
        <v>8</v>
      </c>
      <c r="C642" s="454" t="s">
        <v>29</v>
      </c>
      <c r="D642" s="458" t="s">
        <v>799</v>
      </c>
      <c r="E642" s="456"/>
      <c r="F642" s="522">
        <f>F643</f>
        <v>2163</v>
      </c>
      <c r="G642" s="522">
        <f t="shared" si="174"/>
        <v>2163</v>
      </c>
      <c r="H642" s="522">
        <f t="shared" si="174"/>
        <v>0</v>
      </c>
      <c r="I642" s="522"/>
      <c r="J642" s="522">
        <f t="shared" si="174"/>
        <v>0</v>
      </c>
      <c r="K642" s="522"/>
      <c r="L642" s="521"/>
      <c r="N642" s="521"/>
      <c r="O642" s="521"/>
    </row>
    <row r="643" spans="1:15" s="519" customFormat="1" ht="31.5" x14ac:dyDescent="0.25">
      <c r="A643" s="451" t="s">
        <v>60</v>
      </c>
      <c r="B643" s="477" t="s">
        <v>8</v>
      </c>
      <c r="C643" s="454" t="s">
        <v>29</v>
      </c>
      <c r="D643" s="458" t="s">
        <v>799</v>
      </c>
      <c r="E643" s="456">
        <v>600</v>
      </c>
      <c r="F643" s="522">
        <f>F644</f>
        <v>2163</v>
      </c>
      <c r="G643" s="522">
        <f t="shared" si="174"/>
        <v>2163</v>
      </c>
      <c r="H643" s="522">
        <f t="shared" si="174"/>
        <v>0</v>
      </c>
      <c r="I643" s="522"/>
      <c r="J643" s="705">
        <f t="shared" si="174"/>
        <v>0</v>
      </c>
      <c r="K643" s="634"/>
      <c r="L643" s="506"/>
      <c r="N643" s="521"/>
      <c r="O643" s="521"/>
    </row>
    <row r="644" spans="1:15" s="519" customFormat="1" x14ac:dyDescent="0.25">
      <c r="A644" s="451" t="s">
        <v>61</v>
      </c>
      <c r="B644" s="477" t="s">
        <v>8</v>
      </c>
      <c r="C644" s="454" t="s">
        <v>29</v>
      </c>
      <c r="D644" s="458" t="s">
        <v>799</v>
      </c>
      <c r="E644" s="456">
        <v>610</v>
      </c>
      <c r="F644" s="522">
        <f>'ведом. 2025-2027'!AD697</f>
        <v>2163</v>
      </c>
      <c r="G644" s="524">
        <f>F644</f>
        <v>2163</v>
      </c>
      <c r="H644" s="522">
        <f>'ведом. 2025-2027'!AE697</f>
        <v>0</v>
      </c>
      <c r="I644" s="522"/>
      <c r="J644" s="522">
        <f>'ведом. 2025-2027'!AF697</f>
        <v>0</v>
      </c>
      <c r="K644" s="522"/>
      <c r="L644" s="521"/>
      <c r="N644" s="521"/>
      <c r="O644" s="521"/>
    </row>
    <row r="645" spans="1:15" s="138" customFormat="1" x14ac:dyDescent="0.25">
      <c r="A645" s="253" t="s">
        <v>34</v>
      </c>
      <c r="B645" s="196" t="s">
        <v>8</v>
      </c>
      <c r="C645" s="4" t="s">
        <v>30</v>
      </c>
      <c r="D645" s="26"/>
      <c r="E645" s="325"/>
      <c r="F645" s="159">
        <f>F646+F708</f>
        <v>895547.90000000014</v>
      </c>
      <c r="G645" s="522">
        <f>G646+G708</f>
        <v>612877.80000000005</v>
      </c>
      <c r="H645" s="522">
        <f t="shared" ref="H645:K645" si="175">H646+H708</f>
        <v>727748.5</v>
      </c>
      <c r="I645" s="522">
        <f t="shared" si="175"/>
        <v>598350.4</v>
      </c>
      <c r="J645" s="522">
        <f t="shared" si="175"/>
        <v>716115.5</v>
      </c>
      <c r="K645" s="522">
        <f t="shared" si="175"/>
        <v>586893.4</v>
      </c>
      <c r="L645" s="154"/>
      <c r="N645" s="154"/>
      <c r="O645" s="154"/>
    </row>
    <row r="646" spans="1:15" s="138" customFormat="1" x14ac:dyDescent="0.25">
      <c r="A646" s="385" t="s">
        <v>262</v>
      </c>
      <c r="B646" s="196" t="s">
        <v>8</v>
      </c>
      <c r="C646" s="4" t="s">
        <v>30</v>
      </c>
      <c r="D646" s="156" t="s">
        <v>100</v>
      </c>
      <c r="E646" s="326"/>
      <c r="F646" s="160">
        <f>F647</f>
        <v>889547.90000000014</v>
      </c>
      <c r="G646" s="160">
        <f t="shared" ref="G646:K646" si="176">G647</f>
        <v>610877.80000000005</v>
      </c>
      <c r="H646" s="160">
        <f t="shared" si="176"/>
        <v>727748.5</v>
      </c>
      <c r="I646" s="160">
        <f t="shared" si="176"/>
        <v>598350.4</v>
      </c>
      <c r="J646" s="160">
        <f t="shared" si="176"/>
        <v>716115.5</v>
      </c>
      <c r="K646" s="160">
        <f t="shared" si="176"/>
        <v>586893.4</v>
      </c>
      <c r="L646" s="154"/>
      <c r="N646" s="154"/>
      <c r="O646" s="154"/>
    </row>
    <row r="647" spans="1:15" s="138" customFormat="1" x14ac:dyDescent="0.25">
      <c r="A647" s="255" t="s">
        <v>265</v>
      </c>
      <c r="B647" s="191" t="s">
        <v>8</v>
      </c>
      <c r="C647" s="4" t="s">
        <v>30</v>
      </c>
      <c r="D647" s="156" t="s">
        <v>117</v>
      </c>
      <c r="E647" s="326"/>
      <c r="F647" s="160">
        <f>F648+F673+F687+F698+F694+F683</f>
        <v>889547.90000000014</v>
      </c>
      <c r="G647" s="160">
        <f t="shared" ref="G647:K647" si="177">G648+G673+G687+G698+G694</f>
        <v>610877.80000000005</v>
      </c>
      <c r="H647" s="160">
        <f t="shared" si="177"/>
        <v>727748.5</v>
      </c>
      <c r="I647" s="160">
        <f t="shared" si="177"/>
        <v>598350.4</v>
      </c>
      <c r="J647" s="160">
        <f t="shared" si="177"/>
        <v>716115.5</v>
      </c>
      <c r="K647" s="160">
        <f t="shared" si="177"/>
        <v>586893.4</v>
      </c>
      <c r="L647" s="154"/>
      <c r="N647" s="154"/>
      <c r="O647" s="154"/>
    </row>
    <row r="648" spans="1:15" s="138" customFormat="1" ht="31.5" x14ac:dyDescent="0.25">
      <c r="A648" s="271" t="s">
        <v>266</v>
      </c>
      <c r="B648" s="191" t="s">
        <v>8</v>
      </c>
      <c r="C648" s="4" t="s">
        <v>30</v>
      </c>
      <c r="D648" s="156" t="s">
        <v>446</v>
      </c>
      <c r="E648" s="326"/>
      <c r="F648" s="160">
        <f>F652+F661+F664+F649+F667+F670</f>
        <v>786143.20000000007</v>
      </c>
      <c r="G648" s="160">
        <f t="shared" ref="G648:K648" si="178">G652+G661+G664+G649+G667+G670</f>
        <v>523279</v>
      </c>
      <c r="H648" s="160">
        <f t="shared" si="178"/>
        <v>630900.1</v>
      </c>
      <c r="I648" s="160">
        <f t="shared" si="178"/>
        <v>508513</v>
      </c>
      <c r="J648" s="160">
        <f t="shared" si="178"/>
        <v>632000.5</v>
      </c>
      <c r="K648" s="160">
        <f t="shared" si="178"/>
        <v>508513</v>
      </c>
      <c r="L648" s="154"/>
      <c r="N648" s="154"/>
      <c r="O648" s="154"/>
    </row>
    <row r="649" spans="1:15" s="177" customFormat="1" ht="31.5" x14ac:dyDescent="0.25">
      <c r="A649" s="459" t="s">
        <v>684</v>
      </c>
      <c r="B649" s="2" t="s">
        <v>8</v>
      </c>
      <c r="C649" s="4" t="s">
        <v>30</v>
      </c>
      <c r="D649" s="458" t="s">
        <v>683</v>
      </c>
      <c r="E649" s="431"/>
      <c r="F649" s="160">
        <f>F650</f>
        <v>30653.9</v>
      </c>
      <c r="G649" s="160"/>
      <c r="H649" s="160">
        <f t="shared" ref="H649:J650" si="179">H650</f>
        <v>21201.200000000001</v>
      </c>
      <c r="I649" s="160"/>
      <c r="J649" s="160">
        <f t="shared" si="179"/>
        <v>19198.599999999999</v>
      </c>
      <c r="K649" s="160"/>
      <c r="L649" s="154"/>
      <c r="N649" s="154"/>
      <c r="O649" s="154"/>
    </row>
    <row r="650" spans="1:15" s="177" customFormat="1" x14ac:dyDescent="0.25">
      <c r="A650" s="523" t="s">
        <v>120</v>
      </c>
      <c r="B650" s="2" t="s">
        <v>8</v>
      </c>
      <c r="C650" s="4" t="s">
        <v>30</v>
      </c>
      <c r="D650" s="458" t="s">
        <v>683</v>
      </c>
      <c r="E650" s="429">
        <v>200</v>
      </c>
      <c r="F650" s="160">
        <f>F651</f>
        <v>30653.9</v>
      </c>
      <c r="G650" s="160"/>
      <c r="H650" s="160">
        <f t="shared" si="179"/>
        <v>21201.200000000001</v>
      </c>
      <c r="I650" s="160"/>
      <c r="J650" s="160">
        <f t="shared" si="179"/>
        <v>19198.599999999999</v>
      </c>
      <c r="K650" s="160"/>
      <c r="L650" s="154"/>
      <c r="N650" s="154"/>
      <c r="O650" s="154"/>
    </row>
    <row r="651" spans="1:15" s="177" customFormat="1" ht="31.5" x14ac:dyDescent="0.25">
      <c r="A651" s="523" t="s">
        <v>52</v>
      </c>
      <c r="B651" s="1" t="s">
        <v>8</v>
      </c>
      <c r="C651" s="4" t="s">
        <v>30</v>
      </c>
      <c r="D651" s="458" t="s">
        <v>683</v>
      </c>
      <c r="E651" s="429">
        <v>240</v>
      </c>
      <c r="F651" s="160">
        <f>'ведом. 2025-2027'!AD704</f>
        <v>30653.9</v>
      </c>
      <c r="G651" s="348"/>
      <c r="H651" s="160">
        <f>'ведом. 2025-2027'!AE704</f>
        <v>21201.200000000001</v>
      </c>
      <c r="I651" s="160"/>
      <c r="J651" s="160">
        <f>'ведом. 2025-2027'!AF704</f>
        <v>19198.599999999999</v>
      </c>
      <c r="K651" s="160"/>
      <c r="L651" s="154"/>
      <c r="N651" s="154"/>
      <c r="O651" s="154"/>
    </row>
    <row r="652" spans="1:15" s="138" customFormat="1" ht="47.25" x14ac:dyDescent="0.25">
      <c r="A652" s="255" t="s">
        <v>431</v>
      </c>
      <c r="B652" s="191" t="s">
        <v>8</v>
      </c>
      <c r="C652" s="4" t="s">
        <v>30</v>
      </c>
      <c r="D652" s="156" t="s">
        <v>467</v>
      </c>
      <c r="E652" s="326"/>
      <c r="F652" s="159">
        <f>F653+F656</f>
        <v>232210.3</v>
      </c>
      <c r="G652" s="522"/>
      <c r="H652" s="522">
        <f t="shared" ref="H652:J652" si="180">H653+H656</f>
        <v>101185.9</v>
      </c>
      <c r="I652" s="522"/>
      <c r="J652" s="522">
        <f t="shared" si="180"/>
        <v>104288.90000000001</v>
      </c>
      <c r="K652" s="522"/>
      <c r="L652" s="154"/>
      <c r="N652" s="154"/>
      <c r="O652" s="154"/>
    </row>
    <row r="653" spans="1:15" s="138" customFormat="1" ht="47.25" x14ac:dyDescent="0.25">
      <c r="A653" s="375" t="s">
        <v>507</v>
      </c>
      <c r="B653" s="191" t="s">
        <v>8</v>
      </c>
      <c r="C653" s="4" t="s">
        <v>30</v>
      </c>
      <c r="D653" s="156" t="s">
        <v>468</v>
      </c>
      <c r="E653" s="341"/>
      <c r="F653" s="159">
        <f>F654</f>
        <v>121953.70000000001</v>
      </c>
      <c r="G653" s="306"/>
      <c r="H653" s="522">
        <f>H654</f>
        <v>101185.9</v>
      </c>
      <c r="I653" s="522"/>
      <c r="J653" s="522">
        <f>J654</f>
        <v>104288.90000000001</v>
      </c>
      <c r="K653" s="522"/>
      <c r="L653" s="154"/>
      <c r="N653" s="154"/>
      <c r="O653" s="154"/>
    </row>
    <row r="654" spans="1:15" s="138" customFormat="1" ht="31.5" x14ac:dyDescent="0.25">
      <c r="A654" s="375" t="s">
        <v>60</v>
      </c>
      <c r="B654" s="191" t="s">
        <v>8</v>
      </c>
      <c r="C654" s="4" t="s">
        <v>30</v>
      </c>
      <c r="D654" s="156" t="s">
        <v>468</v>
      </c>
      <c r="E654" s="326">
        <v>600</v>
      </c>
      <c r="F654" s="159">
        <f>F655</f>
        <v>121953.70000000001</v>
      </c>
      <c r="G654" s="306"/>
      <c r="H654" s="522">
        <f>H655</f>
        <v>101185.9</v>
      </c>
      <c r="I654" s="522"/>
      <c r="J654" s="522">
        <f>J655</f>
        <v>104288.90000000001</v>
      </c>
      <c r="K654" s="522"/>
      <c r="L654" s="154"/>
      <c r="N654" s="154"/>
      <c r="O654" s="154"/>
    </row>
    <row r="655" spans="1:15" s="138" customFormat="1" x14ac:dyDescent="0.25">
      <c r="A655" s="375" t="s">
        <v>61</v>
      </c>
      <c r="B655" s="191" t="s">
        <v>8</v>
      </c>
      <c r="C655" s="4" t="s">
        <v>30</v>
      </c>
      <c r="D655" s="156" t="s">
        <v>468</v>
      </c>
      <c r="E655" s="326">
        <v>610</v>
      </c>
      <c r="F655" s="159">
        <f>'ведом. 2025-2027'!AD708</f>
        <v>121953.70000000001</v>
      </c>
      <c r="G655" s="306"/>
      <c r="H655" s="522">
        <f>'ведом. 2025-2027'!AE708</f>
        <v>101185.9</v>
      </c>
      <c r="I655" s="522"/>
      <c r="J655" s="522">
        <f>'ведом. 2025-2027'!AF708</f>
        <v>104288.90000000001</v>
      </c>
      <c r="K655" s="522"/>
      <c r="L655" s="154"/>
      <c r="N655" s="154"/>
      <c r="O655" s="154"/>
    </row>
    <row r="656" spans="1:15" s="177" customFormat="1" ht="47.25" x14ac:dyDescent="0.25">
      <c r="A656" s="375" t="s">
        <v>725</v>
      </c>
      <c r="B656" s="191" t="s">
        <v>8</v>
      </c>
      <c r="C656" s="4" t="s">
        <v>30</v>
      </c>
      <c r="D656" s="156" t="s">
        <v>469</v>
      </c>
      <c r="E656" s="326"/>
      <c r="F656" s="159">
        <f>F659+F657</f>
        <v>110256.59999999999</v>
      </c>
      <c r="G656" s="306"/>
      <c r="H656" s="522">
        <f>H659</f>
        <v>0</v>
      </c>
      <c r="I656" s="522"/>
      <c r="J656" s="522">
        <f>J659</f>
        <v>0</v>
      </c>
      <c r="K656" s="522"/>
      <c r="L656" s="154"/>
      <c r="N656" s="154"/>
      <c r="O656" s="154"/>
    </row>
    <row r="657" spans="1:15" s="519" customFormat="1" x14ac:dyDescent="0.25">
      <c r="A657" s="451" t="s">
        <v>120</v>
      </c>
      <c r="B657" s="191" t="s">
        <v>8</v>
      </c>
      <c r="C657" s="516" t="s">
        <v>30</v>
      </c>
      <c r="D657" s="156" t="s">
        <v>469</v>
      </c>
      <c r="E657" s="326">
        <v>200</v>
      </c>
      <c r="F657" s="522">
        <f>F658</f>
        <v>92805.9</v>
      </c>
      <c r="G657" s="524"/>
      <c r="H657" s="522">
        <v>0</v>
      </c>
      <c r="I657" s="522"/>
      <c r="J657" s="522">
        <v>0</v>
      </c>
      <c r="K657" s="522"/>
      <c r="L657" s="521"/>
      <c r="N657" s="521"/>
      <c r="O657" s="521"/>
    </row>
    <row r="658" spans="1:15" s="519" customFormat="1" ht="31.5" x14ac:dyDescent="0.25">
      <c r="A658" s="451" t="s">
        <v>52</v>
      </c>
      <c r="B658" s="191" t="s">
        <v>8</v>
      </c>
      <c r="C658" s="516" t="s">
        <v>30</v>
      </c>
      <c r="D658" s="156" t="s">
        <v>469</v>
      </c>
      <c r="E658" s="326">
        <v>240</v>
      </c>
      <c r="F658" s="522">
        <f>'ведом. 2025-2027'!AD711</f>
        <v>92805.9</v>
      </c>
      <c r="G658" s="524"/>
      <c r="H658" s="522">
        <f>'ведом. 2025-2027'!AE711</f>
        <v>0</v>
      </c>
      <c r="I658" s="522"/>
      <c r="J658" s="522">
        <f>'ведом. 2025-2027'!AF711</f>
        <v>0</v>
      </c>
      <c r="K658" s="522"/>
      <c r="L658" s="521"/>
      <c r="N658" s="521"/>
      <c r="O658" s="521"/>
    </row>
    <row r="659" spans="1:15" s="138" customFormat="1" ht="31.5" x14ac:dyDescent="0.25">
      <c r="A659" s="375" t="s">
        <v>60</v>
      </c>
      <c r="B659" s="191" t="s">
        <v>8</v>
      </c>
      <c r="C659" s="4" t="s">
        <v>30</v>
      </c>
      <c r="D659" s="156" t="s">
        <v>469</v>
      </c>
      <c r="E659" s="326">
        <v>600</v>
      </c>
      <c r="F659" s="159">
        <f>F660</f>
        <v>17450.7</v>
      </c>
      <c r="G659" s="306"/>
      <c r="H659" s="522">
        <f>H660</f>
        <v>0</v>
      </c>
      <c r="I659" s="522"/>
      <c r="J659" s="522">
        <f>J660</f>
        <v>0</v>
      </c>
      <c r="K659" s="522"/>
      <c r="L659" s="154"/>
      <c r="N659" s="154"/>
      <c r="O659" s="154"/>
    </row>
    <row r="660" spans="1:15" s="138" customFormat="1" x14ac:dyDescent="0.25">
      <c r="A660" s="375" t="s">
        <v>61</v>
      </c>
      <c r="B660" s="191" t="s">
        <v>8</v>
      </c>
      <c r="C660" s="4" t="s">
        <v>30</v>
      </c>
      <c r="D660" s="156" t="s">
        <v>469</v>
      </c>
      <c r="E660" s="326">
        <v>610</v>
      </c>
      <c r="F660" s="159">
        <f>'ведом. 2025-2027'!AD713</f>
        <v>17450.7</v>
      </c>
      <c r="G660" s="306"/>
      <c r="H660" s="522">
        <f>'ведом. 2025-2027'!AE713</f>
        <v>0</v>
      </c>
      <c r="I660" s="522"/>
      <c r="J660" s="522">
        <f>'ведом. 2025-2027'!AF713</f>
        <v>0</v>
      </c>
      <c r="K660" s="522"/>
      <c r="L660" s="154"/>
      <c r="N660" s="154"/>
      <c r="O660" s="154"/>
    </row>
    <row r="661" spans="1:15" s="138" customFormat="1" ht="141.75" x14ac:dyDescent="0.25">
      <c r="A661" s="256" t="s">
        <v>399</v>
      </c>
      <c r="B661" s="191" t="s">
        <v>8</v>
      </c>
      <c r="C661" s="4" t="s">
        <v>30</v>
      </c>
      <c r="D661" s="26" t="s">
        <v>470</v>
      </c>
      <c r="E661" s="325"/>
      <c r="F661" s="159">
        <f t="shared" ref="F661:K662" si="181">F662</f>
        <v>501537</v>
      </c>
      <c r="G661" s="306">
        <f t="shared" si="181"/>
        <v>501537</v>
      </c>
      <c r="H661" s="522">
        <f t="shared" si="181"/>
        <v>479541</v>
      </c>
      <c r="I661" s="522">
        <f t="shared" si="181"/>
        <v>479541</v>
      </c>
      <c r="J661" s="522">
        <f t="shared" si="181"/>
        <v>479541</v>
      </c>
      <c r="K661" s="522">
        <f t="shared" si="181"/>
        <v>479541</v>
      </c>
      <c r="L661" s="154"/>
      <c r="N661" s="154"/>
      <c r="O661" s="154"/>
    </row>
    <row r="662" spans="1:15" s="138" customFormat="1" ht="31.5" x14ac:dyDescent="0.25">
      <c r="A662" s="375" t="s">
        <v>60</v>
      </c>
      <c r="B662" s="191" t="s">
        <v>8</v>
      </c>
      <c r="C662" s="4" t="s">
        <v>30</v>
      </c>
      <c r="D662" s="26" t="s">
        <v>470</v>
      </c>
      <c r="E662" s="326">
        <v>600</v>
      </c>
      <c r="F662" s="159">
        <f t="shared" si="181"/>
        <v>501537</v>
      </c>
      <c r="G662" s="306">
        <f t="shared" si="181"/>
        <v>501537</v>
      </c>
      <c r="H662" s="522">
        <f t="shared" si="181"/>
        <v>479541</v>
      </c>
      <c r="I662" s="522">
        <f t="shared" si="181"/>
        <v>479541</v>
      </c>
      <c r="J662" s="522">
        <f t="shared" si="181"/>
        <v>479541</v>
      </c>
      <c r="K662" s="522">
        <f t="shared" si="181"/>
        <v>479541</v>
      </c>
      <c r="L662" s="154"/>
      <c r="N662" s="154"/>
      <c r="O662" s="154"/>
    </row>
    <row r="663" spans="1:15" s="138" customFormat="1" x14ac:dyDescent="0.25">
      <c r="A663" s="375" t="s">
        <v>61</v>
      </c>
      <c r="B663" s="191" t="s">
        <v>8</v>
      </c>
      <c r="C663" s="4" t="s">
        <v>30</v>
      </c>
      <c r="D663" s="26" t="s">
        <v>470</v>
      </c>
      <c r="E663" s="326">
        <v>610</v>
      </c>
      <c r="F663" s="159">
        <f>'ведом. 2025-2027'!AD716</f>
        <v>501537</v>
      </c>
      <c r="G663" s="306">
        <f>F663</f>
        <v>501537</v>
      </c>
      <c r="H663" s="522">
        <f>'ведом. 2025-2027'!AE716</f>
        <v>479541</v>
      </c>
      <c r="I663" s="522">
        <f>H663</f>
        <v>479541</v>
      </c>
      <c r="J663" s="522">
        <f>'ведом. 2025-2027'!AF716</f>
        <v>479541</v>
      </c>
      <c r="K663" s="522">
        <f>J663</f>
        <v>479541</v>
      </c>
      <c r="L663" s="154"/>
      <c r="N663" s="154"/>
      <c r="O663" s="154"/>
    </row>
    <row r="664" spans="1:15" s="177" customFormat="1" ht="31.5" x14ac:dyDescent="0.25">
      <c r="A664" s="523" t="s">
        <v>770</v>
      </c>
      <c r="B664" s="1" t="s">
        <v>8</v>
      </c>
      <c r="C664" s="4" t="s">
        <v>30</v>
      </c>
      <c r="D664" s="291" t="s">
        <v>623</v>
      </c>
      <c r="E664" s="326"/>
      <c r="F664" s="159">
        <f>F665</f>
        <v>1708</v>
      </c>
      <c r="G664" s="159">
        <f t="shared" ref="G664:K665" si="182">G665</f>
        <v>1708</v>
      </c>
      <c r="H664" s="522">
        <f t="shared" si="182"/>
        <v>1708</v>
      </c>
      <c r="I664" s="522">
        <f t="shared" si="182"/>
        <v>1708</v>
      </c>
      <c r="J664" s="522">
        <f t="shared" si="182"/>
        <v>1708</v>
      </c>
      <c r="K664" s="522">
        <f t="shared" si="182"/>
        <v>1708</v>
      </c>
      <c r="L664" s="154"/>
      <c r="N664" s="154"/>
      <c r="O664" s="154"/>
    </row>
    <row r="665" spans="1:15" s="177" customFormat="1" ht="31.5" x14ac:dyDescent="0.25">
      <c r="A665" s="253" t="s">
        <v>60</v>
      </c>
      <c r="B665" s="1" t="s">
        <v>8</v>
      </c>
      <c r="C665" s="4" t="s">
        <v>30</v>
      </c>
      <c r="D665" s="291" t="s">
        <v>623</v>
      </c>
      <c r="E665" s="326">
        <v>600</v>
      </c>
      <c r="F665" s="159">
        <f>F666</f>
        <v>1708</v>
      </c>
      <c r="G665" s="159">
        <f t="shared" si="182"/>
        <v>1708</v>
      </c>
      <c r="H665" s="522">
        <f t="shared" si="182"/>
        <v>1708</v>
      </c>
      <c r="I665" s="522">
        <f t="shared" si="182"/>
        <v>1708</v>
      </c>
      <c r="J665" s="522">
        <f t="shared" si="182"/>
        <v>1708</v>
      </c>
      <c r="K665" s="522">
        <f t="shared" si="182"/>
        <v>1708</v>
      </c>
      <c r="L665" s="154"/>
      <c r="N665" s="154"/>
      <c r="O665" s="154"/>
    </row>
    <row r="666" spans="1:15" s="177" customFormat="1" x14ac:dyDescent="0.25">
      <c r="A666" s="253" t="s">
        <v>61</v>
      </c>
      <c r="B666" s="1" t="s">
        <v>8</v>
      </c>
      <c r="C666" s="4" t="s">
        <v>30</v>
      </c>
      <c r="D666" s="291" t="s">
        <v>623</v>
      </c>
      <c r="E666" s="326">
        <v>610</v>
      </c>
      <c r="F666" s="159">
        <f>'ведом. 2025-2027'!AD719</f>
        <v>1708</v>
      </c>
      <c r="G666" s="306">
        <f>F666</f>
        <v>1708</v>
      </c>
      <c r="H666" s="522">
        <f>'ведом. 2025-2027'!AE719</f>
        <v>1708</v>
      </c>
      <c r="I666" s="522">
        <f>H666</f>
        <v>1708</v>
      </c>
      <c r="J666" s="522">
        <f>'ведом. 2025-2027'!AF719</f>
        <v>1708</v>
      </c>
      <c r="K666" s="522">
        <f>J666</f>
        <v>1708</v>
      </c>
      <c r="L666" s="154"/>
      <c r="N666" s="154"/>
      <c r="O666" s="154"/>
    </row>
    <row r="667" spans="1:15" s="519" customFormat="1" ht="63" x14ac:dyDescent="0.25">
      <c r="A667" s="451" t="s">
        <v>655</v>
      </c>
      <c r="B667" s="453" t="s">
        <v>8</v>
      </c>
      <c r="C667" s="454" t="s">
        <v>30</v>
      </c>
      <c r="D667" s="455" t="s">
        <v>656</v>
      </c>
      <c r="E667" s="460"/>
      <c r="F667" s="522">
        <f>F668</f>
        <v>2535</v>
      </c>
      <c r="G667" s="522">
        <f t="shared" ref="G667:J668" si="183">G668</f>
        <v>2535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1.5" x14ac:dyDescent="0.25">
      <c r="A668" s="451" t="s">
        <v>60</v>
      </c>
      <c r="B668" s="453" t="s">
        <v>8</v>
      </c>
      <c r="C668" s="454" t="s">
        <v>30</v>
      </c>
      <c r="D668" s="455" t="s">
        <v>656</v>
      </c>
      <c r="E668" s="460">
        <v>600</v>
      </c>
      <c r="F668" s="522">
        <f>F669</f>
        <v>2535</v>
      </c>
      <c r="G668" s="522">
        <f t="shared" si="183"/>
        <v>2535</v>
      </c>
      <c r="H668" s="522">
        <f t="shared" si="183"/>
        <v>0</v>
      </c>
      <c r="I668" s="522"/>
      <c r="J668" s="522">
        <f t="shared" si="183"/>
        <v>0</v>
      </c>
      <c r="K668" s="522"/>
      <c r="L668" s="506"/>
      <c r="N668" s="521"/>
      <c r="O668" s="521"/>
    </row>
    <row r="669" spans="1:15" s="519" customFormat="1" x14ac:dyDescent="0.25">
      <c r="A669" s="451" t="s">
        <v>61</v>
      </c>
      <c r="B669" s="453" t="s">
        <v>8</v>
      </c>
      <c r="C669" s="454" t="s">
        <v>30</v>
      </c>
      <c r="D669" s="455" t="s">
        <v>656</v>
      </c>
      <c r="E669" s="460">
        <v>610</v>
      </c>
      <c r="F669" s="522">
        <f>'ведом. 2025-2027'!AD722</f>
        <v>2535</v>
      </c>
      <c r="G669" s="524">
        <f>F669</f>
        <v>2535</v>
      </c>
      <c r="H669" s="522">
        <f>'ведом. 2025-2027'!AE722</f>
        <v>0</v>
      </c>
      <c r="I669" s="522"/>
      <c r="J669" s="522">
        <f>'ведом. 2025-2027'!AF722</f>
        <v>0</v>
      </c>
      <c r="K669" s="522"/>
      <c r="L669" s="521"/>
      <c r="N669" s="521"/>
      <c r="O669" s="521"/>
    </row>
    <row r="670" spans="1:15" s="519" customFormat="1" ht="34.5" customHeight="1" x14ac:dyDescent="0.25">
      <c r="A670" s="451" t="s">
        <v>777</v>
      </c>
      <c r="B670" s="453" t="s">
        <v>8</v>
      </c>
      <c r="C670" s="454" t="s">
        <v>30</v>
      </c>
      <c r="D670" s="455" t="s">
        <v>661</v>
      </c>
      <c r="E670" s="460"/>
      <c r="F670" s="522">
        <f>F671</f>
        <v>17499</v>
      </c>
      <c r="G670" s="522">
        <f t="shared" ref="G670:K670" si="184">G671</f>
        <v>17499</v>
      </c>
      <c r="H670" s="522">
        <f t="shared" si="184"/>
        <v>27264</v>
      </c>
      <c r="I670" s="522">
        <f t="shared" si="184"/>
        <v>27264</v>
      </c>
      <c r="J670" s="522">
        <f t="shared" si="184"/>
        <v>27264</v>
      </c>
      <c r="K670" s="522">
        <f t="shared" si="184"/>
        <v>27264</v>
      </c>
      <c r="L670" s="521"/>
      <c r="N670" s="521"/>
      <c r="O670" s="521"/>
    </row>
    <row r="671" spans="1:15" s="519" customFormat="1" ht="31.5" x14ac:dyDescent="0.25">
      <c r="A671" s="451" t="s">
        <v>60</v>
      </c>
      <c r="B671" s="453" t="s">
        <v>8</v>
      </c>
      <c r="C671" s="454" t="s">
        <v>30</v>
      </c>
      <c r="D671" s="455" t="s">
        <v>661</v>
      </c>
      <c r="E671" s="460">
        <v>600</v>
      </c>
      <c r="F671" s="522">
        <f>F672</f>
        <v>17499</v>
      </c>
      <c r="G671" s="522">
        <f t="shared" ref="G671:K671" si="185">G672</f>
        <v>17499</v>
      </c>
      <c r="H671" s="522">
        <f t="shared" si="185"/>
        <v>27264</v>
      </c>
      <c r="I671" s="522">
        <f t="shared" si="185"/>
        <v>27264</v>
      </c>
      <c r="J671" s="522">
        <f t="shared" si="185"/>
        <v>27264</v>
      </c>
      <c r="K671" s="522">
        <f t="shared" si="185"/>
        <v>27264</v>
      </c>
      <c r="L671" s="521"/>
      <c r="N671" s="521"/>
      <c r="O671" s="521"/>
    </row>
    <row r="672" spans="1:15" s="519" customFormat="1" x14ac:dyDescent="0.25">
      <c r="A672" s="451" t="s">
        <v>61</v>
      </c>
      <c r="B672" s="453" t="s">
        <v>8</v>
      </c>
      <c r="C672" s="454" t="s">
        <v>30</v>
      </c>
      <c r="D672" s="455" t="s">
        <v>661</v>
      </c>
      <c r="E672" s="460">
        <v>610</v>
      </c>
      <c r="F672" s="522">
        <f>'ведом. 2025-2027'!AD725</f>
        <v>17499</v>
      </c>
      <c r="G672" s="524">
        <f>F672</f>
        <v>17499</v>
      </c>
      <c r="H672" s="522">
        <f>'ведом. 2025-2027'!AE725</f>
        <v>27264</v>
      </c>
      <c r="I672" s="522">
        <f>H672</f>
        <v>27264</v>
      </c>
      <c r="J672" s="522">
        <f>'ведом. 2025-2027'!AF725</f>
        <v>27264</v>
      </c>
      <c r="K672" s="522">
        <f>J672</f>
        <v>27264</v>
      </c>
      <c r="L672" s="521"/>
      <c r="N672" s="521"/>
      <c r="O672" s="521"/>
    </row>
    <row r="673" spans="1:15" s="138" customFormat="1" ht="47.25" x14ac:dyDescent="0.25">
      <c r="A673" s="255" t="s">
        <v>267</v>
      </c>
      <c r="B673" s="191" t="s">
        <v>8</v>
      </c>
      <c r="C673" s="4" t="s">
        <v>30</v>
      </c>
      <c r="D673" s="156" t="s">
        <v>126</v>
      </c>
      <c r="E673" s="326"/>
      <c r="F673" s="159">
        <f>F674+F677+F680</f>
        <v>46662.299999999996</v>
      </c>
      <c r="G673" s="522">
        <f>G674+G677+G680</f>
        <v>41997.9</v>
      </c>
      <c r="H673" s="522">
        <f t="shared" ref="H673:K673" si="186">H674+H677+H680</f>
        <v>51469</v>
      </c>
      <c r="I673" s="522">
        <f t="shared" si="186"/>
        <v>46323.899999999994</v>
      </c>
      <c r="J673" s="522">
        <f t="shared" si="186"/>
        <v>38704.6</v>
      </c>
      <c r="K673" s="522">
        <f t="shared" si="186"/>
        <v>34835.9</v>
      </c>
      <c r="L673" s="154"/>
      <c r="N673" s="154"/>
      <c r="O673" s="154"/>
    </row>
    <row r="674" spans="1:15" s="138" customFormat="1" ht="31.5" x14ac:dyDescent="0.25">
      <c r="A674" s="375" t="s">
        <v>509</v>
      </c>
      <c r="B674" s="191" t="s">
        <v>8</v>
      </c>
      <c r="C674" s="4" t="s">
        <v>30</v>
      </c>
      <c r="D674" s="156" t="s">
        <v>471</v>
      </c>
      <c r="E674" s="326"/>
      <c r="F674" s="159">
        <f t="shared" ref="F674:K675" si="187">F675</f>
        <v>18</v>
      </c>
      <c r="G674" s="306">
        <f t="shared" si="187"/>
        <v>18</v>
      </c>
      <c r="H674" s="522">
        <f t="shared" si="187"/>
        <v>18</v>
      </c>
      <c r="I674" s="522">
        <f t="shared" si="187"/>
        <v>18</v>
      </c>
      <c r="J674" s="522">
        <f t="shared" si="187"/>
        <v>18</v>
      </c>
      <c r="K674" s="522">
        <f t="shared" si="187"/>
        <v>18</v>
      </c>
      <c r="L674" s="154"/>
      <c r="N674" s="154"/>
      <c r="O674" s="154"/>
    </row>
    <row r="675" spans="1:15" s="138" customFormat="1" ht="31.5" x14ac:dyDescent="0.25">
      <c r="A675" s="375" t="s">
        <v>60</v>
      </c>
      <c r="B675" s="191" t="s">
        <v>8</v>
      </c>
      <c r="C675" s="4" t="s">
        <v>30</v>
      </c>
      <c r="D675" s="156" t="s">
        <v>471</v>
      </c>
      <c r="E675" s="325">
        <v>600</v>
      </c>
      <c r="F675" s="159">
        <f t="shared" si="187"/>
        <v>18</v>
      </c>
      <c r="G675" s="306">
        <f t="shared" si="187"/>
        <v>18</v>
      </c>
      <c r="H675" s="522">
        <f t="shared" si="187"/>
        <v>18</v>
      </c>
      <c r="I675" s="522">
        <f t="shared" si="187"/>
        <v>18</v>
      </c>
      <c r="J675" s="522">
        <f t="shared" si="187"/>
        <v>18</v>
      </c>
      <c r="K675" s="522">
        <f t="shared" si="187"/>
        <v>18</v>
      </c>
      <c r="L675" s="154"/>
      <c r="N675" s="154"/>
      <c r="O675" s="154"/>
    </row>
    <row r="676" spans="1:15" s="138" customFormat="1" x14ac:dyDescent="0.25">
      <c r="A676" s="375" t="s">
        <v>61</v>
      </c>
      <c r="B676" s="191" t="s">
        <v>8</v>
      </c>
      <c r="C676" s="4" t="s">
        <v>30</v>
      </c>
      <c r="D676" s="156" t="s">
        <v>471</v>
      </c>
      <c r="E676" s="325">
        <v>610</v>
      </c>
      <c r="F676" s="159">
        <f>'ведом. 2025-2027'!AD729</f>
        <v>18</v>
      </c>
      <c r="G676" s="306">
        <f>F676</f>
        <v>18</v>
      </c>
      <c r="H676" s="522">
        <f>'ведом. 2025-2027'!AE729</f>
        <v>18</v>
      </c>
      <c r="I676" s="522">
        <f>H676</f>
        <v>18</v>
      </c>
      <c r="J676" s="522">
        <f>'ведом. 2025-2027'!AF729</f>
        <v>18</v>
      </c>
      <c r="K676" s="522">
        <f>J676</f>
        <v>18</v>
      </c>
      <c r="L676" s="154"/>
      <c r="N676" s="154"/>
      <c r="O676" s="154"/>
    </row>
    <row r="677" spans="1:15" s="177" customFormat="1" ht="63" x14ac:dyDescent="0.25">
      <c r="A677" s="479" t="s">
        <v>747</v>
      </c>
      <c r="B677" s="191" t="s">
        <v>8</v>
      </c>
      <c r="C677" s="4" t="s">
        <v>30</v>
      </c>
      <c r="D677" s="26" t="s">
        <v>746</v>
      </c>
      <c r="E677" s="326"/>
      <c r="F677" s="159">
        <f t="shared" ref="F677:J678" si="188">F678</f>
        <v>39953.799999999996</v>
      </c>
      <c r="G677" s="306">
        <f t="shared" si="188"/>
        <v>35958.400000000001</v>
      </c>
      <c r="H677" s="522">
        <f t="shared" si="188"/>
        <v>39547.4</v>
      </c>
      <c r="I677" s="522">
        <f t="shared" si="188"/>
        <v>35592.699999999997</v>
      </c>
      <c r="J677" s="522">
        <f t="shared" si="188"/>
        <v>38686.6</v>
      </c>
      <c r="K677" s="522">
        <f>K678</f>
        <v>34817.9</v>
      </c>
      <c r="L677" s="154"/>
      <c r="N677" s="154"/>
      <c r="O677" s="154"/>
    </row>
    <row r="678" spans="1:15" s="177" customFormat="1" x14ac:dyDescent="0.25">
      <c r="A678" s="273" t="s">
        <v>120</v>
      </c>
      <c r="B678" s="191" t="s">
        <v>8</v>
      </c>
      <c r="C678" s="4" t="s">
        <v>30</v>
      </c>
      <c r="D678" s="26" t="s">
        <v>746</v>
      </c>
      <c r="E678" s="326">
        <v>200</v>
      </c>
      <c r="F678" s="159">
        <f t="shared" si="188"/>
        <v>39953.799999999996</v>
      </c>
      <c r="G678" s="306">
        <f t="shared" si="188"/>
        <v>35958.400000000001</v>
      </c>
      <c r="H678" s="522">
        <f t="shared" si="188"/>
        <v>39547.4</v>
      </c>
      <c r="I678" s="522">
        <f t="shared" si="188"/>
        <v>35592.699999999997</v>
      </c>
      <c r="J678" s="522">
        <f t="shared" si="188"/>
        <v>38686.6</v>
      </c>
      <c r="K678" s="522">
        <f>K679</f>
        <v>34817.9</v>
      </c>
      <c r="L678" s="154"/>
      <c r="N678" s="154"/>
      <c r="O678" s="154"/>
    </row>
    <row r="679" spans="1:15" s="177" customFormat="1" ht="31.5" x14ac:dyDescent="0.25">
      <c r="A679" s="273" t="s">
        <v>52</v>
      </c>
      <c r="B679" s="191" t="s">
        <v>8</v>
      </c>
      <c r="C679" s="4" t="s">
        <v>30</v>
      </c>
      <c r="D679" s="26" t="s">
        <v>746</v>
      </c>
      <c r="E679" s="326">
        <v>240</v>
      </c>
      <c r="F679" s="159">
        <f>'ведом. 2025-2027'!AD732</f>
        <v>39953.799999999996</v>
      </c>
      <c r="G679" s="306">
        <v>35958.400000000001</v>
      </c>
      <c r="H679" s="522">
        <f>'ведом. 2025-2027'!AE732</f>
        <v>39547.4</v>
      </c>
      <c r="I679" s="522">
        <v>35592.699999999997</v>
      </c>
      <c r="J679" s="522">
        <f>'ведом. 2025-2027'!AF732</f>
        <v>38686.6</v>
      </c>
      <c r="K679" s="522">
        <v>34817.9</v>
      </c>
      <c r="L679" s="154"/>
      <c r="M679" s="521"/>
      <c r="N679" s="154"/>
      <c r="O679" s="154"/>
    </row>
    <row r="680" spans="1:15" s="519" customFormat="1" ht="31.5" x14ac:dyDescent="0.25">
      <c r="A680" s="451" t="s">
        <v>833</v>
      </c>
      <c r="B680" s="453" t="s">
        <v>8</v>
      </c>
      <c r="C680" s="453" t="s">
        <v>30</v>
      </c>
      <c r="D680" s="541" t="s">
        <v>834</v>
      </c>
      <c r="E680" s="454"/>
      <c r="F680" s="522">
        <f>F681</f>
        <v>6690.5</v>
      </c>
      <c r="G680" s="522">
        <f t="shared" ref="G680:J681" si="189">G681</f>
        <v>6021.5</v>
      </c>
      <c r="H680" s="522">
        <f t="shared" si="189"/>
        <v>11903.6</v>
      </c>
      <c r="I680" s="522">
        <f t="shared" si="189"/>
        <v>10713.2</v>
      </c>
      <c r="J680" s="522">
        <f t="shared" si="189"/>
        <v>0</v>
      </c>
      <c r="K680" s="522"/>
      <c r="L680" s="521"/>
      <c r="M680" s="521"/>
      <c r="N680" s="521"/>
      <c r="O680" s="521"/>
    </row>
    <row r="681" spans="1:15" s="519" customFormat="1" x14ac:dyDescent="0.25">
      <c r="A681" s="451" t="s">
        <v>120</v>
      </c>
      <c r="B681" s="453" t="s">
        <v>8</v>
      </c>
      <c r="C681" s="453" t="s">
        <v>30</v>
      </c>
      <c r="D681" s="541" t="s">
        <v>834</v>
      </c>
      <c r="E681" s="454">
        <v>200</v>
      </c>
      <c r="F681" s="522">
        <f>F682</f>
        <v>6690.5</v>
      </c>
      <c r="G681" s="522">
        <f t="shared" si="189"/>
        <v>6021.5</v>
      </c>
      <c r="H681" s="522">
        <f t="shared" si="189"/>
        <v>11903.6</v>
      </c>
      <c r="I681" s="522">
        <f t="shared" si="189"/>
        <v>10713.2</v>
      </c>
      <c r="J681" s="522">
        <f t="shared" si="189"/>
        <v>0</v>
      </c>
      <c r="K681" s="522"/>
      <c r="L681" s="521"/>
      <c r="M681" s="521"/>
      <c r="N681" s="521"/>
      <c r="O681" s="521"/>
    </row>
    <row r="682" spans="1:15" s="519" customFormat="1" ht="31.5" x14ac:dyDescent="0.25">
      <c r="A682" s="451" t="s">
        <v>52</v>
      </c>
      <c r="B682" s="453" t="s">
        <v>8</v>
      </c>
      <c r="C682" s="453" t="s">
        <v>30</v>
      </c>
      <c r="D682" s="541" t="s">
        <v>834</v>
      </c>
      <c r="E682" s="454">
        <v>240</v>
      </c>
      <c r="F682" s="522">
        <f>'ведом. 2025-2027'!AD735</f>
        <v>6690.5</v>
      </c>
      <c r="G682" s="524">
        <v>6021.5</v>
      </c>
      <c r="H682" s="522">
        <f>'ведом. 2025-2027'!AE735</f>
        <v>11903.6</v>
      </c>
      <c r="I682" s="522">
        <v>10713.2</v>
      </c>
      <c r="J682" s="522">
        <f>'ведом. 2025-2027'!AF735</f>
        <v>0</v>
      </c>
      <c r="K682" s="522"/>
      <c r="L682" s="521"/>
      <c r="M682" s="521"/>
      <c r="N682" s="521"/>
      <c r="O682" s="521"/>
    </row>
    <row r="683" spans="1:15" s="519" customFormat="1" x14ac:dyDescent="0.25">
      <c r="A683" s="451" t="s">
        <v>838</v>
      </c>
      <c r="B683" s="453" t="s">
        <v>8</v>
      </c>
      <c r="C683" s="453" t="s">
        <v>30</v>
      </c>
      <c r="D683" s="542" t="s">
        <v>840</v>
      </c>
      <c r="E683" s="454"/>
      <c r="F683" s="522">
        <f>F684</f>
        <v>8763.1</v>
      </c>
      <c r="G683" s="522"/>
      <c r="H683" s="522">
        <f t="shared" ref="H683:J685" si="190">H684</f>
        <v>0</v>
      </c>
      <c r="I683" s="522"/>
      <c r="J683" s="522">
        <f t="shared" si="190"/>
        <v>0</v>
      </c>
      <c r="K683" s="522"/>
      <c r="L683" s="521"/>
      <c r="M683" s="521"/>
      <c r="N683" s="521"/>
      <c r="O683" s="521"/>
    </row>
    <row r="684" spans="1:15" s="519" customFormat="1" x14ac:dyDescent="0.25">
      <c r="A684" s="451" t="s">
        <v>839</v>
      </c>
      <c r="B684" s="453" t="s">
        <v>8</v>
      </c>
      <c r="C684" s="453" t="s">
        <v>30</v>
      </c>
      <c r="D684" s="542" t="s">
        <v>841</v>
      </c>
      <c r="E684" s="454"/>
      <c r="F684" s="522">
        <f>F685</f>
        <v>8763.1</v>
      </c>
      <c r="G684" s="522"/>
      <c r="H684" s="522">
        <f t="shared" si="190"/>
        <v>0</v>
      </c>
      <c r="I684" s="522"/>
      <c r="J684" s="522">
        <f t="shared" si="190"/>
        <v>0</v>
      </c>
      <c r="K684" s="522"/>
      <c r="L684" s="521"/>
      <c r="M684" s="521"/>
      <c r="N684" s="521"/>
      <c r="O684" s="521"/>
    </row>
    <row r="685" spans="1:15" s="519" customFormat="1" ht="31.5" x14ac:dyDescent="0.25">
      <c r="A685" s="451" t="s">
        <v>60</v>
      </c>
      <c r="B685" s="453" t="s">
        <v>8</v>
      </c>
      <c r="C685" s="453" t="s">
        <v>30</v>
      </c>
      <c r="D685" s="542" t="s">
        <v>841</v>
      </c>
      <c r="E685" s="482">
        <v>600</v>
      </c>
      <c r="F685" s="522">
        <f>F686</f>
        <v>8763.1</v>
      </c>
      <c r="G685" s="522"/>
      <c r="H685" s="522">
        <f t="shared" si="190"/>
        <v>0</v>
      </c>
      <c r="I685" s="522"/>
      <c r="J685" s="522">
        <f t="shared" si="190"/>
        <v>0</v>
      </c>
      <c r="K685" s="522"/>
      <c r="L685" s="521"/>
      <c r="M685" s="521"/>
      <c r="N685" s="521"/>
      <c r="O685" s="521"/>
    </row>
    <row r="686" spans="1:15" s="519" customFormat="1" x14ac:dyDescent="0.25">
      <c r="A686" s="451" t="s">
        <v>61</v>
      </c>
      <c r="B686" s="453" t="s">
        <v>8</v>
      </c>
      <c r="C686" s="453" t="s">
        <v>30</v>
      </c>
      <c r="D686" s="542" t="s">
        <v>841</v>
      </c>
      <c r="E686" s="482">
        <v>610</v>
      </c>
      <c r="F686" s="522">
        <f>'ведом. 2025-2027'!AD739</f>
        <v>8763.1</v>
      </c>
      <c r="G686" s="524"/>
      <c r="H686" s="522">
        <f>'ведом. 2025-2027'!AE739</f>
        <v>0</v>
      </c>
      <c r="I686" s="522"/>
      <c r="J686" s="522">
        <f>'ведом. 2025-2027'!AF739</f>
        <v>0</v>
      </c>
      <c r="K686" s="522"/>
      <c r="L686" s="521"/>
      <c r="M686" s="521"/>
      <c r="N686" s="521"/>
      <c r="O686" s="521"/>
    </row>
    <row r="687" spans="1:15" s="138" customFormat="1" ht="47.25" x14ac:dyDescent="0.25">
      <c r="A687" s="255" t="s">
        <v>312</v>
      </c>
      <c r="B687" s="191" t="s">
        <v>8</v>
      </c>
      <c r="C687" s="4" t="s">
        <v>30</v>
      </c>
      <c r="D687" s="156" t="s">
        <v>472</v>
      </c>
      <c r="E687" s="325"/>
      <c r="F687" s="159">
        <f t="shared" ref="F687:K687" si="191">F688+F691</f>
        <v>5379.9</v>
      </c>
      <c r="G687" s="159">
        <f t="shared" si="191"/>
        <v>3514</v>
      </c>
      <c r="H687" s="522">
        <f t="shared" si="191"/>
        <v>5237.8999999999996</v>
      </c>
      <c r="I687" s="522">
        <f t="shared" si="191"/>
        <v>3372</v>
      </c>
      <c r="J687" s="522">
        <f t="shared" si="191"/>
        <v>5237.8999999999996</v>
      </c>
      <c r="K687" s="522">
        <f t="shared" si="191"/>
        <v>3372</v>
      </c>
      <c r="L687" s="154"/>
      <c r="N687" s="154"/>
      <c r="O687" s="154"/>
    </row>
    <row r="688" spans="1:15" s="138" customFormat="1" ht="47.25" x14ac:dyDescent="0.25">
      <c r="A688" s="255" t="s">
        <v>431</v>
      </c>
      <c r="B688" s="191" t="s">
        <v>8</v>
      </c>
      <c r="C688" s="4" t="s">
        <v>30</v>
      </c>
      <c r="D688" s="156" t="s">
        <v>473</v>
      </c>
      <c r="E688" s="325"/>
      <c r="F688" s="159">
        <f>F689</f>
        <v>1865.9</v>
      </c>
      <c r="G688" s="306"/>
      <c r="H688" s="522">
        <f>H689</f>
        <v>1865.9</v>
      </c>
      <c r="I688" s="522"/>
      <c r="J688" s="522">
        <f>J689</f>
        <v>1865.9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1" t="s">
        <v>8</v>
      </c>
      <c r="C689" s="4" t="s">
        <v>30</v>
      </c>
      <c r="D689" s="156" t="s">
        <v>473</v>
      </c>
      <c r="E689" s="325">
        <v>600</v>
      </c>
      <c r="F689" s="159">
        <f>F690</f>
        <v>1865.9</v>
      </c>
      <c r="G689" s="306"/>
      <c r="H689" s="522">
        <f>H690</f>
        <v>1865.9</v>
      </c>
      <c r="I689" s="522"/>
      <c r="J689" s="522">
        <f>J690</f>
        <v>1865.9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1" t="s">
        <v>8</v>
      </c>
      <c r="C690" s="4" t="s">
        <v>30</v>
      </c>
      <c r="D690" s="156" t="s">
        <v>473</v>
      </c>
      <c r="E690" s="325">
        <v>610</v>
      </c>
      <c r="F690" s="159">
        <f>'ведом. 2025-2027'!AD743</f>
        <v>1865.9</v>
      </c>
      <c r="G690" s="306"/>
      <c r="H690" s="522">
        <f>'ведом. 2025-2027'!AE743</f>
        <v>1865.9</v>
      </c>
      <c r="I690" s="522"/>
      <c r="J690" s="522">
        <f>'ведом. 2025-2027'!AF743</f>
        <v>1865.9</v>
      </c>
      <c r="K690" s="522"/>
      <c r="L690" s="154"/>
      <c r="N690" s="154"/>
      <c r="O690" s="154"/>
    </row>
    <row r="691" spans="1:15" s="177" customFormat="1" ht="63" x14ac:dyDescent="0.25">
      <c r="A691" s="253" t="s">
        <v>624</v>
      </c>
      <c r="B691" s="1" t="s">
        <v>8</v>
      </c>
      <c r="C691" s="4" t="s">
        <v>30</v>
      </c>
      <c r="D691" s="291" t="s">
        <v>622</v>
      </c>
      <c r="E691" s="430"/>
      <c r="F691" s="159">
        <f>F692</f>
        <v>3514</v>
      </c>
      <c r="G691" s="159">
        <f t="shared" ref="G691:K692" si="192">G692</f>
        <v>3514</v>
      </c>
      <c r="H691" s="522">
        <f t="shared" si="192"/>
        <v>3372</v>
      </c>
      <c r="I691" s="522">
        <f t="shared" si="192"/>
        <v>3372</v>
      </c>
      <c r="J691" s="522">
        <f t="shared" si="192"/>
        <v>3372</v>
      </c>
      <c r="K691" s="522">
        <f t="shared" si="192"/>
        <v>3372</v>
      </c>
      <c r="L691" s="154"/>
      <c r="N691" s="154"/>
      <c r="O691" s="154"/>
    </row>
    <row r="692" spans="1:15" s="177" customFormat="1" ht="31.5" x14ac:dyDescent="0.25">
      <c r="A692" s="253" t="s">
        <v>60</v>
      </c>
      <c r="B692" s="1" t="s">
        <v>8</v>
      </c>
      <c r="C692" s="4" t="s">
        <v>30</v>
      </c>
      <c r="D692" s="291" t="s">
        <v>622</v>
      </c>
      <c r="E692" s="407">
        <v>600</v>
      </c>
      <c r="F692" s="159">
        <f>F693</f>
        <v>3514</v>
      </c>
      <c r="G692" s="159">
        <f t="shared" si="192"/>
        <v>3514</v>
      </c>
      <c r="H692" s="522">
        <f t="shared" si="192"/>
        <v>3372</v>
      </c>
      <c r="I692" s="522">
        <f t="shared" si="192"/>
        <v>3372</v>
      </c>
      <c r="J692" s="522">
        <f t="shared" si="192"/>
        <v>3372</v>
      </c>
      <c r="K692" s="522">
        <f t="shared" si="192"/>
        <v>3372</v>
      </c>
      <c r="L692" s="154"/>
      <c r="N692" s="154"/>
      <c r="O692" s="154"/>
    </row>
    <row r="693" spans="1:15" s="177" customFormat="1" x14ac:dyDescent="0.25">
      <c r="A693" s="253" t="s">
        <v>61</v>
      </c>
      <c r="B693" s="1" t="s">
        <v>8</v>
      </c>
      <c r="C693" s="4" t="s">
        <v>30</v>
      </c>
      <c r="D693" s="291" t="s">
        <v>622</v>
      </c>
      <c r="E693" s="407">
        <v>610</v>
      </c>
      <c r="F693" s="159">
        <f>'ведом. 2025-2027'!AD746</f>
        <v>3514</v>
      </c>
      <c r="G693" s="306">
        <f>F693</f>
        <v>3514</v>
      </c>
      <c r="H693" s="522">
        <f>'ведом. 2025-2027'!AE746</f>
        <v>3372</v>
      </c>
      <c r="I693" s="522">
        <f>H693</f>
        <v>3372</v>
      </c>
      <c r="J693" s="522">
        <f>'ведом. 2025-2027'!AF746</f>
        <v>3372</v>
      </c>
      <c r="K693" s="522">
        <f>J693</f>
        <v>3372</v>
      </c>
      <c r="L693" s="154"/>
      <c r="N693" s="154"/>
      <c r="O693" s="154"/>
    </row>
    <row r="694" spans="1:15" s="519" customFormat="1" x14ac:dyDescent="0.25">
      <c r="A694" s="523" t="s">
        <v>740</v>
      </c>
      <c r="B694" s="515" t="s">
        <v>8</v>
      </c>
      <c r="C694" s="516" t="s">
        <v>30</v>
      </c>
      <c r="D694" s="291" t="s">
        <v>741</v>
      </c>
      <c r="E694" s="407"/>
      <c r="F694" s="522">
        <f>F695</f>
        <v>2483.4</v>
      </c>
      <c r="G694" s="522">
        <f t="shared" ref="G694:J694" si="193">G695</f>
        <v>1970.9</v>
      </c>
      <c r="H694" s="522">
        <f t="shared" si="193"/>
        <v>0</v>
      </c>
      <c r="I694" s="522"/>
      <c r="J694" s="522">
        <f t="shared" si="193"/>
        <v>0</v>
      </c>
      <c r="K694" s="522"/>
      <c r="L694" s="521"/>
      <c r="N694" s="521"/>
      <c r="O694" s="521"/>
    </row>
    <row r="695" spans="1:15" s="519" customFormat="1" ht="30" customHeight="1" x14ac:dyDescent="0.25">
      <c r="A695" s="523" t="s">
        <v>742</v>
      </c>
      <c r="B695" s="515" t="s">
        <v>8</v>
      </c>
      <c r="C695" s="516" t="s">
        <v>30</v>
      </c>
      <c r="D695" s="291" t="s">
        <v>743</v>
      </c>
      <c r="E695" s="407"/>
      <c r="F695" s="522">
        <f>F696</f>
        <v>2483.4</v>
      </c>
      <c r="G695" s="522">
        <f t="shared" ref="G695:J695" si="194">G696</f>
        <v>1970.9</v>
      </c>
      <c r="H695" s="522">
        <f t="shared" si="194"/>
        <v>0</v>
      </c>
      <c r="I695" s="522"/>
      <c r="J695" s="522">
        <f t="shared" si="194"/>
        <v>0</v>
      </c>
      <c r="K695" s="522"/>
      <c r="L695" s="521"/>
      <c r="N695" s="521"/>
      <c r="O695" s="521"/>
    </row>
    <row r="696" spans="1:15" s="519" customFormat="1" x14ac:dyDescent="0.25">
      <c r="A696" s="273" t="s">
        <v>120</v>
      </c>
      <c r="B696" s="515" t="s">
        <v>8</v>
      </c>
      <c r="C696" s="516" t="s">
        <v>30</v>
      </c>
      <c r="D696" s="291" t="s">
        <v>743</v>
      </c>
      <c r="E696" s="407">
        <v>200</v>
      </c>
      <c r="F696" s="522">
        <f>F697</f>
        <v>2483.4</v>
      </c>
      <c r="G696" s="522">
        <f t="shared" ref="G696:J696" si="195">G697</f>
        <v>1970.9</v>
      </c>
      <c r="H696" s="522">
        <f t="shared" si="195"/>
        <v>0</v>
      </c>
      <c r="I696" s="522"/>
      <c r="J696" s="522">
        <f t="shared" si="195"/>
        <v>0</v>
      </c>
      <c r="K696" s="522"/>
      <c r="L696" s="521"/>
      <c r="N696" s="521"/>
      <c r="O696" s="521"/>
    </row>
    <row r="697" spans="1:15" s="519" customFormat="1" ht="31.5" x14ac:dyDescent="0.25">
      <c r="A697" s="273" t="s">
        <v>52</v>
      </c>
      <c r="B697" s="515" t="s">
        <v>8</v>
      </c>
      <c r="C697" s="516" t="s">
        <v>30</v>
      </c>
      <c r="D697" s="291" t="s">
        <v>743</v>
      </c>
      <c r="E697" s="407">
        <v>240</v>
      </c>
      <c r="F697" s="522">
        <f>'ведом. 2025-2027'!AD750</f>
        <v>2483.4</v>
      </c>
      <c r="G697" s="524">
        <v>1970.9</v>
      </c>
      <c r="H697" s="522">
        <f>'ведом. 2025-2027'!AE750</f>
        <v>0</v>
      </c>
      <c r="I697" s="522"/>
      <c r="J697" s="522">
        <f>'ведом. 2025-2027'!AF750</f>
        <v>0</v>
      </c>
      <c r="K697" s="522"/>
      <c r="L697" s="521"/>
      <c r="N697" s="521"/>
      <c r="O697" s="521"/>
    </row>
    <row r="698" spans="1:15" s="519" customFormat="1" x14ac:dyDescent="0.25">
      <c r="A698" s="523" t="s">
        <v>657</v>
      </c>
      <c r="B698" s="515" t="s">
        <v>8</v>
      </c>
      <c r="C698" s="516" t="s">
        <v>30</v>
      </c>
      <c r="D698" s="291" t="s">
        <v>658</v>
      </c>
      <c r="E698" s="407"/>
      <c r="F698" s="522">
        <f>F702+F705+F699</f>
        <v>40116</v>
      </c>
      <c r="G698" s="522">
        <f t="shared" ref="G698:K698" si="196">G702+G705+G699</f>
        <v>40116</v>
      </c>
      <c r="H698" s="522">
        <f t="shared" si="196"/>
        <v>40141.5</v>
      </c>
      <c r="I698" s="522">
        <f t="shared" si="196"/>
        <v>40141.5</v>
      </c>
      <c r="J698" s="522">
        <f t="shared" si="196"/>
        <v>40172.5</v>
      </c>
      <c r="K698" s="522">
        <f t="shared" si="196"/>
        <v>40172.5</v>
      </c>
      <c r="L698" s="521"/>
      <c r="N698" s="521"/>
      <c r="O698" s="521"/>
    </row>
    <row r="699" spans="1:15" s="519" customFormat="1" ht="94.5" x14ac:dyDescent="0.25">
      <c r="A699" s="514" t="s">
        <v>744</v>
      </c>
      <c r="B699" s="515" t="s">
        <v>8</v>
      </c>
      <c r="C699" s="515" t="s">
        <v>30</v>
      </c>
      <c r="D699" s="409" t="s">
        <v>745</v>
      </c>
      <c r="E699" s="575"/>
      <c r="F699" s="522">
        <f>F700</f>
        <v>312.5</v>
      </c>
      <c r="G699" s="522">
        <f t="shared" ref="G699:K699" si="197">G700</f>
        <v>312.5</v>
      </c>
      <c r="H699" s="522">
        <f t="shared" si="197"/>
        <v>312.5</v>
      </c>
      <c r="I699" s="522">
        <f t="shared" si="197"/>
        <v>312.5</v>
      </c>
      <c r="J699" s="522">
        <f t="shared" si="197"/>
        <v>312.5</v>
      </c>
      <c r="K699" s="522">
        <f t="shared" si="197"/>
        <v>312.5</v>
      </c>
      <c r="L699" s="521"/>
      <c r="N699" s="521"/>
      <c r="O699" s="521"/>
    </row>
    <row r="700" spans="1:15" s="519" customFormat="1" ht="31.5" x14ac:dyDescent="0.25">
      <c r="A700" s="523" t="s">
        <v>60</v>
      </c>
      <c r="B700" s="515" t="s">
        <v>8</v>
      </c>
      <c r="C700" s="515" t="s">
        <v>30</v>
      </c>
      <c r="D700" s="409" t="s">
        <v>745</v>
      </c>
      <c r="E700" s="407">
        <v>600</v>
      </c>
      <c r="F700" s="522">
        <f>F701</f>
        <v>312.5</v>
      </c>
      <c r="G700" s="522">
        <f t="shared" ref="G700:K700" si="198">G701</f>
        <v>312.5</v>
      </c>
      <c r="H700" s="522">
        <f t="shared" si="198"/>
        <v>312.5</v>
      </c>
      <c r="I700" s="522">
        <f t="shared" si="198"/>
        <v>312.5</v>
      </c>
      <c r="J700" s="522">
        <f t="shared" si="198"/>
        <v>312.5</v>
      </c>
      <c r="K700" s="522">
        <f t="shared" si="198"/>
        <v>312.5</v>
      </c>
      <c r="L700" s="521"/>
      <c r="N700" s="521"/>
      <c r="O700" s="521"/>
    </row>
    <row r="701" spans="1:15" s="519" customFormat="1" x14ac:dyDescent="0.25">
      <c r="A701" s="523" t="s">
        <v>61</v>
      </c>
      <c r="B701" s="515" t="s">
        <v>8</v>
      </c>
      <c r="C701" s="515" t="s">
        <v>30</v>
      </c>
      <c r="D701" s="409" t="s">
        <v>745</v>
      </c>
      <c r="E701" s="407">
        <v>610</v>
      </c>
      <c r="F701" s="522">
        <f>'ведом. 2025-2027'!AD754</f>
        <v>312.5</v>
      </c>
      <c r="G701" s="522">
        <f>F701</f>
        <v>312.5</v>
      </c>
      <c r="H701" s="522">
        <f>'ведом. 2025-2027'!AE754</f>
        <v>312.5</v>
      </c>
      <c r="I701" s="522">
        <f>H701</f>
        <v>312.5</v>
      </c>
      <c r="J701" s="522">
        <f>'ведом. 2025-2027'!AF754</f>
        <v>312.5</v>
      </c>
      <c r="K701" s="522">
        <f>J701</f>
        <v>312.5</v>
      </c>
      <c r="L701" s="521"/>
      <c r="N701" s="521"/>
      <c r="O701" s="521"/>
    </row>
    <row r="702" spans="1:15" s="519" customFormat="1" ht="47.25" x14ac:dyDescent="0.25">
      <c r="A702" s="523" t="s">
        <v>662</v>
      </c>
      <c r="B702" s="515" t="s">
        <v>8</v>
      </c>
      <c r="C702" s="516" t="s">
        <v>30</v>
      </c>
      <c r="D702" s="291" t="s">
        <v>663</v>
      </c>
      <c r="E702" s="407"/>
      <c r="F702" s="522">
        <f>F703</f>
        <v>1680.5</v>
      </c>
      <c r="G702" s="522">
        <f t="shared" ref="G702:K703" si="199">G703</f>
        <v>1680.5</v>
      </c>
      <c r="H702" s="522">
        <f t="shared" si="199"/>
        <v>1706</v>
      </c>
      <c r="I702" s="522">
        <f t="shared" si="199"/>
        <v>1706</v>
      </c>
      <c r="J702" s="522">
        <f t="shared" si="199"/>
        <v>1737</v>
      </c>
      <c r="K702" s="522">
        <f t="shared" si="199"/>
        <v>1737</v>
      </c>
      <c r="L702" s="521"/>
      <c r="N702" s="521"/>
      <c r="O702" s="521"/>
    </row>
    <row r="703" spans="1:15" s="519" customFormat="1" ht="31.5" x14ac:dyDescent="0.25">
      <c r="A703" s="451" t="s">
        <v>60</v>
      </c>
      <c r="B703" s="515" t="s">
        <v>8</v>
      </c>
      <c r="C703" s="516" t="s">
        <v>30</v>
      </c>
      <c r="D703" s="291" t="s">
        <v>663</v>
      </c>
      <c r="E703" s="407">
        <v>600</v>
      </c>
      <c r="F703" s="522">
        <f>F704</f>
        <v>1680.5</v>
      </c>
      <c r="G703" s="522">
        <f t="shared" si="199"/>
        <v>1680.5</v>
      </c>
      <c r="H703" s="522">
        <f t="shared" si="199"/>
        <v>1706</v>
      </c>
      <c r="I703" s="522">
        <f t="shared" si="199"/>
        <v>1706</v>
      </c>
      <c r="J703" s="522">
        <f t="shared" si="199"/>
        <v>1737</v>
      </c>
      <c r="K703" s="522">
        <f t="shared" si="199"/>
        <v>1737</v>
      </c>
      <c r="L703" s="521"/>
      <c r="N703" s="521"/>
      <c r="O703" s="521"/>
    </row>
    <row r="704" spans="1:15" s="519" customFormat="1" x14ac:dyDescent="0.25">
      <c r="A704" s="451" t="s">
        <v>61</v>
      </c>
      <c r="B704" s="515" t="s">
        <v>8</v>
      </c>
      <c r="C704" s="516" t="s">
        <v>30</v>
      </c>
      <c r="D704" s="291" t="s">
        <v>663</v>
      </c>
      <c r="E704" s="407">
        <v>610</v>
      </c>
      <c r="F704" s="522">
        <f>'ведом. 2025-2027'!AD757</f>
        <v>1680.5</v>
      </c>
      <c r="G704" s="522">
        <f>F704</f>
        <v>1680.5</v>
      </c>
      <c r="H704" s="522">
        <f>'ведом. 2025-2027'!AE757</f>
        <v>1706</v>
      </c>
      <c r="I704" s="522">
        <f>H704</f>
        <v>1706</v>
      </c>
      <c r="J704" s="522">
        <f>'ведом. 2025-2027'!AF757</f>
        <v>1737</v>
      </c>
      <c r="K704" s="522">
        <f>J704</f>
        <v>1737</v>
      </c>
      <c r="L704" s="521"/>
      <c r="N704" s="521"/>
      <c r="O704" s="521"/>
    </row>
    <row r="705" spans="1:15" s="519" customFormat="1" ht="63" x14ac:dyDescent="0.25">
      <c r="A705" s="523" t="s">
        <v>659</v>
      </c>
      <c r="B705" s="515" t="s">
        <v>8</v>
      </c>
      <c r="C705" s="516" t="s">
        <v>30</v>
      </c>
      <c r="D705" s="291" t="s">
        <v>660</v>
      </c>
      <c r="E705" s="407"/>
      <c r="F705" s="522">
        <f>F706</f>
        <v>38123</v>
      </c>
      <c r="G705" s="522">
        <f t="shared" ref="G705:K706" si="200">G706</f>
        <v>38123</v>
      </c>
      <c r="H705" s="522">
        <f t="shared" si="200"/>
        <v>38123</v>
      </c>
      <c r="I705" s="522">
        <f t="shared" si="200"/>
        <v>38123</v>
      </c>
      <c r="J705" s="522">
        <f t="shared" si="200"/>
        <v>38123</v>
      </c>
      <c r="K705" s="522">
        <f t="shared" si="200"/>
        <v>38123</v>
      </c>
      <c r="L705" s="521"/>
      <c r="N705" s="521"/>
      <c r="O705" s="521"/>
    </row>
    <row r="706" spans="1:15" s="519" customFormat="1" ht="31.5" x14ac:dyDescent="0.25">
      <c r="A706" s="523" t="s">
        <v>60</v>
      </c>
      <c r="B706" s="515" t="s">
        <v>8</v>
      </c>
      <c r="C706" s="516" t="s">
        <v>30</v>
      </c>
      <c r="D706" s="291" t="s">
        <v>660</v>
      </c>
      <c r="E706" s="407">
        <v>600</v>
      </c>
      <c r="F706" s="522">
        <f>F707</f>
        <v>38123</v>
      </c>
      <c r="G706" s="522">
        <f t="shared" si="200"/>
        <v>38123</v>
      </c>
      <c r="H706" s="522">
        <f t="shared" si="200"/>
        <v>38123</v>
      </c>
      <c r="I706" s="522">
        <f t="shared" si="200"/>
        <v>38123</v>
      </c>
      <c r="J706" s="522">
        <f t="shared" si="200"/>
        <v>38123</v>
      </c>
      <c r="K706" s="522">
        <f t="shared" si="200"/>
        <v>38123</v>
      </c>
      <c r="L706" s="521"/>
      <c r="N706" s="521"/>
      <c r="O706" s="521"/>
    </row>
    <row r="707" spans="1:15" s="519" customFormat="1" x14ac:dyDescent="0.25">
      <c r="A707" s="523" t="s">
        <v>61</v>
      </c>
      <c r="B707" s="515" t="s">
        <v>8</v>
      </c>
      <c r="C707" s="516" t="s">
        <v>30</v>
      </c>
      <c r="D707" s="291" t="s">
        <v>660</v>
      </c>
      <c r="E707" s="407">
        <v>610</v>
      </c>
      <c r="F707" s="522">
        <f>'ведом. 2025-2027'!AD760</f>
        <v>38123</v>
      </c>
      <c r="G707" s="524">
        <f>F707</f>
        <v>38123</v>
      </c>
      <c r="H707" s="522">
        <f>'ведом. 2025-2027'!AE760</f>
        <v>38123</v>
      </c>
      <c r="I707" s="522">
        <f>H707</f>
        <v>38123</v>
      </c>
      <c r="J707" s="522">
        <f>'ведом. 2025-2027'!AF760</f>
        <v>38123</v>
      </c>
      <c r="K707" s="522">
        <f>J707</f>
        <v>38123</v>
      </c>
      <c r="L707" s="521"/>
      <c r="N707" s="521"/>
      <c r="O707" s="521"/>
    </row>
    <row r="708" spans="1:15" s="519" customFormat="1" ht="31.5" x14ac:dyDescent="0.25">
      <c r="A708" s="271" t="s">
        <v>298</v>
      </c>
      <c r="B708" s="515" t="s">
        <v>8</v>
      </c>
      <c r="C708" s="515" t="s">
        <v>30</v>
      </c>
      <c r="D708" s="156" t="s">
        <v>132</v>
      </c>
      <c r="E708" s="575"/>
      <c r="F708" s="522">
        <f>F709</f>
        <v>6000</v>
      </c>
      <c r="G708" s="522">
        <f t="shared" ref="G708:I708" si="201">G709</f>
        <v>2000</v>
      </c>
      <c r="H708" s="522"/>
      <c r="I708" s="522">
        <f t="shared" si="201"/>
        <v>0</v>
      </c>
      <c r="J708" s="522"/>
      <c r="K708" s="522"/>
      <c r="L708" s="521"/>
      <c r="N708" s="521"/>
      <c r="O708" s="521"/>
    </row>
    <row r="709" spans="1:15" s="519" customFormat="1" x14ac:dyDescent="0.25">
      <c r="A709" s="523" t="s">
        <v>851</v>
      </c>
      <c r="B709" s="515" t="s">
        <v>8</v>
      </c>
      <c r="C709" s="515" t="s">
        <v>30</v>
      </c>
      <c r="D709" s="156" t="s">
        <v>852</v>
      </c>
      <c r="E709" s="575"/>
      <c r="F709" s="522">
        <f>F710</f>
        <v>6000</v>
      </c>
      <c r="G709" s="522">
        <f t="shared" ref="G709:I709" si="202">G710</f>
        <v>2000</v>
      </c>
      <c r="H709" s="522"/>
      <c r="I709" s="522">
        <f t="shared" si="202"/>
        <v>0</v>
      </c>
      <c r="J709" s="522"/>
      <c r="K709" s="522"/>
      <c r="L709" s="521"/>
      <c r="N709" s="521"/>
      <c r="O709" s="521"/>
    </row>
    <row r="710" spans="1:15" s="519" customFormat="1" x14ac:dyDescent="0.25">
      <c r="A710" s="523" t="s">
        <v>854</v>
      </c>
      <c r="B710" s="515" t="s">
        <v>8</v>
      </c>
      <c r="C710" s="515" t="s">
        <v>30</v>
      </c>
      <c r="D710" s="156" t="s">
        <v>853</v>
      </c>
      <c r="E710" s="575"/>
      <c r="F710" s="522">
        <f>F712</f>
        <v>6000</v>
      </c>
      <c r="G710" s="522">
        <f t="shared" ref="G710:I710" si="203">G712</f>
        <v>2000</v>
      </c>
      <c r="H710" s="522"/>
      <c r="I710" s="522">
        <f t="shared" si="203"/>
        <v>0</v>
      </c>
      <c r="J710" s="522"/>
      <c r="K710" s="522"/>
      <c r="L710" s="521"/>
      <c r="N710" s="521"/>
      <c r="O710" s="521"/>
    </row>
    <row r="711" spans="1:15" s="519" customFormat="1" ht="37.5" customHeight="1" x14ac:dyDescent="0.25">
      <c r="A711" s="523" t="s">
        <v>857</v>
      </c>
      <c r="B711" s="515" t="s">
        <v>8</v>
      </c>
      <c r="C711" s="515" t="s">
        <v>30</v>
      </c>
      <c r="D711" s="156" t="s">
        <v>858</v>
      </c>
      <c r="E711" s="575"/>
      <c r="F711" s="522">
        <f>F712</f>
        <v>6000</v>
      </c>
      <c r="G711" s="522">
        <f t="shared" ref="G711:I711" si="204">G712</f>
        <v>2000</v>
      </c>
      <c r="H711" s="522"/>
      <c r="I711" s="522">
        <f t="shared" si="204"/>
        <v>0</v>
      </c>
      <c r="J711" s="522"/>
      <c r="K711" s="522"/>
      <c r="L711" s="521"/>
      <c r="N711" s="521"/>
      <c r="O711" s="521"/>
    </row>
    <row r="712" spans="1:15" s="519" customFormat="1" ht="63" x14ac:dyDescent="0.25">
      <c r="A712" s="523" t="s">
        <v>855</v>
      </c>
      <c r="B712" s="515" t="s">
        <v>8</v>
      </c>
      <c r="C712" s="515" t="s">
        <v>30</v>
      </c>
      <c r="D712" s="156" t="s">
        <v>856</v>
      </c>
      <c r="E712" s="575"/>
      <c r="F712" s="522">
        <f>F713</f>
        <v>6000</v>
      </c>
      <c r="G712" s="522">
        <f t="shared" ref="G712:I712" si="205">G713</f>
        <v>2000</v>
      </c>
      <c r="H712" s="522"/>
      <c r="I712" s="522">
        <f t="shared" si="205"/>
        <v>0</v>
      </c>
      <c r="J712" s="522"/>
      <c r="K712" s="522"/>
      <c r="L712" s="521"/>
      <c r="N712" s="521"/>
      <c r="O712" s="521"/>
    </row>
    <row r="713" spans="1:15" s="519" customFormat="1" ht="31.5" x14ac:dyDescent="0.25">
      <c r="A713" s="523" t="s">
        <v>60</v>
      </c>
      <c r="B713" s="515" t="s">
        <v>8</v>
      </c>
      <c r="C713" s="515" t="s">
        <v>30</v>
      </c>
      <c r="D713" s="156" t="s">
        <v>856</v>
      </c>
      <c r="E713" s="575">
        <v>600</v>
      </c>
      <c r="F713" s="522">
        <f>F714</f>
        <v>6000</v>
      </c>
      <c r="G713" s="522">
        <f t="shared" ref="G713:I713" si="206">G714</f>
        <v>2000</v>
      </c>
      <c r="H713" s="522"/>
      <c r="I713" s="522">
        <f t="shared" si="206"/>
        <v>0</v>
      </c>
      <c r="J713" s="522"/>
      <c r="K713" s="522"/>
      <c r="L713" s="521"/>
      <c r="N713" s="521"/>
      <c r="O713" s="521"/>
    </row>
    <row r="714" spans="1:15" s="519" customFormat="1" x14ac:dyDescent="0.25">
      <c r="A714" s="523" t="s">
        <v>61</v>
      </c>
      <c r="B714" s="515" t="s">
        <v>8</v>
      </c>
      <c r="C714" s="515" t="s">
        <v>30</v>
      </c>
      <c r="D714" s="156" t="s">
        <v>856</v>
      </c>
      <c r="E714" s="575">
        <v>610</v>
      </c>
      <c r="F714" s="522">
        <f>'ведом. 2025-2027'!AD767</f>
        <v>6000</v>
      </c>
      <c r="G714" s="524">
        <v>2000</v>
      </c>
      <c r="H714" s="522"/>
      <c r="I714" s="522"/>
      <c r="J714" s="522"/>
      <c r="K714" s="522"/>
      <c r="L714" s="521"/>
      <c r="N714" s="521"/>
      <c r="O714" s="521"/>
    </row>
    <row r="715" spans="1:15" s="138" customFormat="1" x14ac:dyDescent="0.25">
      <c r="A715" s="375" t="s">
        <v>134</v>
      </c>
      <c r="B715" s="196" t="s">
        <v>8</v>
      </c>
      <c r="C715" s="4" t="s">
        <v>7</v>
      </c>
      <c r="D715" s="26"/>
      <c r="E715" s="326"/>
      <c r="F715" s="159">
        <f t="shared" ref="F715:K715" si="207">F733+F716</f>
        <v>159220</v>
      </c>
      <c r="G715" s="522">
        <f t="shared" si="207"/>
        <v>12925.4</v>
      </c>
      <c r="H715" s="522">
        <f t="shared" si="207"/>
        <v>119938.2</v>
      </c>
      <c r="I715" s="522">
        <f t="shared" si="207"/>
        <v>5026</v>
      </c>
      <c r="J715" s="522">
        <f t="shared" si="207"/>
        <v>122324.3</v>
      </c>
      <c r="K715" s="522">
        <f t="shared" si="207"/>
        <v>5026</v>
      </c>
      <c r="L715" s="154"/>
      <c r="N715" s="154"/>
      <c r="O715" s="154"/>
    </row>
    <row r="716" spans="1:15" s="177" customFormat="1" x14ac:dyDescent="0.25">
      <c r="A716" s="255" t="s">
        <v>572</v>
      </c>
      <c r="B716" s="196" t="s">
        <v>8</v>
      </c>
      <c r="C716" s="4" t="s">
        <v>7</v>
      </c>
      <c r="D716" s="156" t="s">
        <v>114</v>
      </c>
      <c r="E716" s="330"/>
      <c r="F716" s="159">
        <f>F717</f>
        <v>80893.600000000006</v>
      </c>
      <c r="G716" s="522">
        <f t="shared" ref="G716:J716" si="208">G717</f>
        <v>7468.4</v>
      </c>
      <c r="H716" s="522">
        <f t="shared" si="208"/>
        <v>43856</v>
      </c>
      <c r="I716" s="522"/>
      <c r="J716" s="522">
        <f t="shared" si="208"/>
        <v>43856</v>
      </c>
      <c r="K716" s="522"/>
      <c r="L716" s="154"/>
      <c r="N716" s="154"/>
      <c r="O716" s="154"/>
    </row>
    <row r="717" spans="1:15" s="177" customFormat="1" x14ac:dyDescent="0.25">
      <c r="A717" s="253" t="s">
        <v>496</v>
      </c>
      <c r="B717" s="196" t="s">
        <v>8</v>
      </c>
      <c r="C717" s="4" t="s">
        <v>7</v>
      </c>
      <c r="D717" s="156" t="s">
        <v>380</v>
      </c>
      <c r="E717" s="325"/>
      <c r="F717" s="159">
        <f>F718+F729+F722</f>
        <v>80893.600000000006</v>
      </c>
      <c r="G717" s="522">
        <f t="shared" ref="G717:J717" si="209">G718+G729+G722</f>
        <v>7468.4</v>
      </c>
      <c r="H717" s="522">
        <f t="shared" si="209"/>
        <v>43856</v>
      </c>
      <c r="I717" s="522"/>
      <c r="J717" s="522">
        <f t="shared" si="209"/>
        <v>43856</v>
      </c>
      <c r="K717" s="522"/>
      <c r="L717" s="154"/>
      <c r="N717" s="154"/>
      <c r="O717" s="154"/>
    </row>
    <row r="718" spans="1:15" s="177" customFormat="1" ht="39" customHeight="1" x14ac:dyDescent="0.25">
      <c r="A718" s="523" t="s">
        <v>422</v>
      </c>
      <c r="B718" s="191" t="s">
        <v>8</v>
      </c>
      <c r="C718" s="4" t="s">
        <v>7</v>
      </c>
      <c r="D718" s="156" t="s">
        <v>381</v>
      </c>
      <c r="E718" s="325"/>
      <c r="F718" s="159">
        <f>F719</f>
        <v>72348.100000000006</v>
      </c>
      <c r="G718" s="306"/>
      <c r="H718" s="522">
        <f>H719</f>
        <v>43856</v>
      </c>
      <c r="I718" s="522"/>
      <c r="J718" s="522">
        <f>J719</f>
        <v>43856</v>
      </c>
      <c r="K718" s="522"/>
      <c r="L718" s="154"/>
      <c r="N718" s="154"/>
      <c r="O718" s="154"/>
    </row>
    <row r="719" spans="1:15" s="177" customFormat="1" ht="31.5" x14ac:dyDescent="0.25">
      <c r="A719" s="375" t="s">
        <v>379</v>
      </c>
      <c r="B719" s="191" t="s">
        <v>8</v>
      </c>
      <c r="C719" s="4" t="s">
        <v>7</v>
      </c>
      <c r="D719" s="156" t="s">
        <v>382</v>
      </c>
      <c r="E719" s="325"/>
      <c r="F719" s="159">
        <f>F720</f>
        <v>72348.100000000006</v>
      </c>
      <c r="G719" s="306"/>
      <c r="H719" s="522">
        <f>H720</f>
        <v>43856</v>
      </c>
      <c r="I719" s="522"/>
      <c r="J719" s="522">
        <f>J720</f>
        <v>43856</v>
      </c>
      <c r="K719" s="522"/>
      <c r="L719" s="154"/>
      <c r="N719" s="154"/>
      <c r="O719" s="154"/>
    </row>
    <row r="720" spans="1:15" s="177" customFormat="1" ht="31.5" x14ac:dyDescent="0.25">
      <c r="A720" s="253" t="s">
        <v>60</v>
      </c>
      <c r="B720" s="191" t="s">
        <v>8</v>
      </c>
      <c r="C720" s="4" t="s">
        <v>7</v>
      </c>
      <c r="D720" s="156" t="s">
        <v>382</v>
      </c>
      <c r="E720" s="325">
        <v>600</v>
      </c>
      <c r="F720" s="159">
        <f>F721</f>
        <v>72348.100000000006</v>
      </c>
      <c r="G720" s="306"/>
      <c r="H720" s="522">
        <f>H721</f>
        <v>43856</v>
      </c>
      <c r="I720" s="522"/>
      <c r="J720" s="522">
        <f>J721</f>
        <v>43856</v>
      </c>
      <c r="K720" s="522"/>
      <c r="L720" s="154"/>
      <c r="N720" s="154"/>
      <c r="O720" s="154"/>
    </row>
    <row r="721" spans="1:15" s="177" customFormat="1" x14ac:dyDescent="0.25">
      <c r="A721" s="253" t="s">
        <v>61</v>
      </c>
      <c r="B721" s="191" t="s">
        <v>8</v>
      </c>
      <c r="C721" s="4" t="s">
        <v>7</v>
      </c>
      <c r="D721" s="156" t="s">
        <v>382</v>
      </c>
      <c r="E721" s="325">
        <v>610</v>
      </c>
      <c r="F721" s="159">
        <f>'ведом. 2025-2027'!AD367</f>
        <v>72348.100000000006</v>
      </c>
      <c r="G721" s="306"/>
      <c r="H721" s="522">
        <f>'ведом. 2025-2027'!AE367</f>
        <v>43856</v>
      </c>
      <c r="I721" s="522"/>
      <c r="J721" s="522">
        <f>'ведом. 2025-2027'!AF367</f>
        <v>43856</v>
      </c>
      <c r="K721" s="522"/>
      <c r="L721" s="154"/>
      <c r="N721" s="154"/>
      <c r="O721" s="154"/>
    </row>
    <row r="722" spans="1:15" s="519" customFormat="1" ht="31.5" x14ac:dyDescent="0.25">
      <c r="A722" s="479" t="s">
        <v>737</v>
      </c>
      <c r="B722" s="453" t="s">
        <v>8</v>
      </c>
      <c r="C722" s="453" t="s">
        <v>7</v>
      </c>
      <c r="D722" s="542" t="s">
        <v>738</v>
      </c>
      <c r="E722" s="482"/>
      <c r="F722" s="522">
        <f>F726+F723</f>
        <v>2528.4</v>
      </c>
      <c r="G722" s="522">
        <f t="shared" ref="G722:J722" si="210">G726+G723</f>
        <v>2528.4</v>
      </c>
      <c r="H722" s="522">
        <f t="shared" si="210"/>
        <v>0</v>
      </c>
      <c r="I722" s="522"/>
      <c r="J722" s="522">
        <f t="shared" si="210"/>
        <v>0</v>
      </c>
      <c r="K722" s="522"/>
      <c r="L722" s="521"/>
      <c r="N722" s="521"/>
      <c r="O722" s="521"/>
    </row>
    <row r="723" spans="1:15" s="519" customFormat="1" ht="63" x14ac:dyDescent="0.25">
      <c r="A723" s="451" t="s">
        <v>859</v>
      </c>
      <c r="B723" s="453" t="s">
        <v>8</v>
      </c>
      <c r="C723" s="453" t="s">
        <v>7</v>
      </c>
      <c r="D723" s="542" t="s">
        <v>860</v>
      </c>
      <c r="E723" s="482"/>
      <c r="F723" s="522">
        <f t="shared" ref="F723:H724" si="211">F724</f>
        <v>28.6</v>
      </c>
      <c r="G723" s="522">
        <f t="shared" si="211"/>
        <v>28.6</v>
      </c>
      <c r="H723" s="522">
        <f t="shared" si="211"/>
        <v>0</v>
      </c>
      <c r="I723" s="522"/>
      <c r="J723" s="522">
        <f t="shared" ref="J723:J724" si="212">J724</f>
        <v>0</v>
      </c>
      <c r="K723" s="522"/>
      <c r="L723" s="521"/>
      <c r="N723" s="521"/>
      <c r="O723" s="521"/>
    </row>
    <row r="724" spans="1:15" s="519" customFormat="1" ht="31.5" x14ac:dyDescent="0.25">
      <c r="A724" s="451" t="s">
        <v>60</v>
      </c>
      <c r="B724" s="453" t="s">
        <v>8</v>
      </c>
      <c r="C724" s="453" t="s">
        <v>7</v>
      </c>
      <c r="D724" s="542" t="s">
        <v>860</v>
      </c>
      <c r="E724" s="482">
        <v>600</v>
      </c>
      <c r="F724" s="522">
        <f t="shared" si="211"/>
        <v>28.6</v>
      </c>
      <c r="G724" s="522">
        <f t="shared" si="211"/>
        <v>28.6</v>
      </c>
      <c r="H724" s="522">
        <f t="shared" si="211"/>
        <v>0</v>
      </c>
      <c r="I724" s="522"/>
      <c r="J724" s="522">
        <f t="shared" si="212"/>
        <v>0</v>
      </c>
      <c r="K724" s="522"/>
      <c r="L724" s="521"/>
      <c r="N724" s="521"/>
      <c r="O724" s="521"/>
    </row>
    <row r="725" spans="1:15" s="519" customFormat="1" x14ac:dyDescent="0.25">
      <c r="A725" s="451" t="s">
        <v>61</v>
      </c>
      <c r="B725" s="453" t="s">
        <v>8</v>
      </c>
      <c r="C725" s="453" t="s">
        <v>7</v>
      </c>
      <c r="D725" s="542" t="s">
        <v>860</v>
      </c>
      <c r="E725" s="482">
        <v>610</v>
      </c>
      <c r="F725" s="522">
        <f>'ведом. 2025-2027'!AD371</f>
        <v>28.6</v>
      </c>
      <c r="G725" s="522">
        <f>F725</f>
        <v>28.6</v>
      </c>
      <c r="H725" s="522">
        <f>'ведом. 2025-2027'!AE371</f>
        <v>0</v>
      </c>
      <c r="I725" s="522"/>
      <c r="J725" s="522">
        <f>'ведом. 2025-2027'!AF371</f>
        <v>0</v>
      </c>
      <c r="K725" s="522"/>
      <c r="L725" s="521"/>
      <c r="N725" s="521"/>
      <c r="O725" s="521"/>
    </row>
    <row r="726" spans="1:15" s="519" customFormat="1" ht="37.5" customHeight="1" x14ac:dyDescent="0.25">
      <c r="A726" s="479" t="s">
        <v>769</v>
      </c>
      <c r="B726" s="453" t="s">
        <v>8</v>
      </c>
      <c r="C726" s="453" t="s">
        <v>7</v>
      </c>
      <c r="D726" s="542" t="s">
        <v>739</v>
      </c>
      <c r="E726" s="482"/>
      <c r="F726" s="522">
        <f>F727</f>
        <v>2499.8000000000002</v>
      </c>
      <c r="G726" s="522">
        <f t="shared" ref="G726:J726" si="213">G727</f>
        <v>2499.8000000000002</v>
      </c>
      <c r="H726" s="522">
        <f t="shared" si="213"/>
        <v>0</v>
      </c>
      <c r="I726" s="522"/>
      <c r="J726" s="522">
        <f t="shared" si="213"/>
        <v>0</v>
      </c>
      <c r="K726" s="522"/>
      <c r="L726" s="521"/>
      <c r="N726" s="521"/>
      <c r="O726" s="521"/>
    </row>
    <row r="727" spans="1:15" s="519" customFormat="1" ht="31.5" x14ac:dyDescent="0.25">
      <c r="A727" s="479" t="s">
        <v>60</v>
      </c>
      <c r="B727" s="453" t="s">
        <v>8</v>
      </c>
      <c r="C727" s="453" t="s">
        <v>7</v>
      </c>
      <c r="D727" s="542" t="s">
        <v>739</v>
      </c>
      <c r="E727" s="482">
        <v>600</v>
      </c>
      <c r="F727" s="522">
        <f>F728</f>
        <v>2499.8000000000002</v>
      </c>
      <c r="G727" s="522">
        <f t="shared" ref="G727:J727" si="214">G728</f>
        <v>2499.8000000000002</v>
      </c>
      <c r="H727" s="522">
        <f t="shared" si="214"/>
        <v>0</v>
      </c>
      <c r="I727" s="522"/>
      <c r="J727" s="522">
        <f t="shared" si="214"/>
        <v>0</v>
      </c>
      <c r="K727" s="522"/>
      <c r="L727" s="521"/>
      <c r="N727" s="521"/>
      <c r="O727" s="521"/>
    </row>
    <row r="728" spans="1:15" s="519" customFormat="1" x14ac:dyDescent="0.25">
      <c r="A728" s="479" t="s">
        <v>61</v>
      </c>
      <c r="B728" s="453" t="s">
        <v>8</v>
      </c>
      <c r="C728" s="453" t="s">
        <v>7</v>
      </c>
      <c r="D728" s="542" t="s">
        <v>739</v>
      </c>
      <c r="E728" s="482">
        <v>610</v>
      </c>
      <c r="F728" s="522">
        <f>'ведом. 2025-2027'!AD374</f>
        <v>2499.8000000000002</v>
      </c>
      <c r="G728" s="524">
        <f>F728</f>
        <v>2499.8000000000002</v>
      </c>
      <c r="H728" s="522">
        <f>'ведом. 2025-2027'!AE374</f>
        <v>0</v>
      </c>
      <c r="I728" s="522"/>
      <c r="J728" s="522">
        <f>'ведом. 2025-2027'!AF374</f>
        <v>0</v>
      </c>
      <c r="K728" s="522"/>
      <c r="L728" s="521"/>
      <c r="N728" s="521"/>
      <c r="O728" s="521"/>
    </row>
    <row r="729" spans="1:15" s="519" customFormat="1" x14ac:dyDescent="0.25">
      <c r="A729" s="479" t="s">
        <v>733</v>
      </c>
      <c r="B729" s="453" t="s">
        <v>8</v>
      </c>
      <c r="C729" s="453" t="s">
        <v>7</v>
      </c>
      <c r="D729" s="542" t="s">
        <v>736</v>
      </c>
      <c r="E729" s="482"/>
      <c r="F729" s="522">
        <f>F730</f>
        <v>6017.1</v>
      </c>
      <c r="G729" s="522">
        <f t="shared" ref="G729:J731" si="215">G730</f>
        <v>4940</v>
      </c>
      <c r="H729" s="522">
        <f t="shared" si="215"/>
        <v>0</v>
      </c>
      <c r="I729" s="522"/>
      <c r="J729" s="522">
        <f t="shared" si="215"/>
        <v>0</v>
      </c>
      <c r="K729" s="522"/>
      <c r="L729" s="521"/>
      <c r="N729" s="521"/>
      <c r="O729" s="521"/>
    </row>
    <row r="730" spans="1:15" s="519" customFormat="1" ht="47.25" x14ac:dyDescent="0.25">
      <c r="A730" s="479" t="s">
        <v>734</v>
      </c>
      <c r="B730" s="453" t="s">
        <v>8</v>
      </c>
      <c r="C730" s="453" t="s">
        <v>7</v>
      </c>
      <c r="D730" s="542" t="s">
        <v>735</v>
      </c>
      <c r="E730" s="482"/>
      <c r="F730" s="522">
        <f>F731</f>
        <v>6017.1</v>
      </c>
      <c r="G730" s="522">
        <f t="shared" si="215"/>
        <v>4940</v>
      </c>
      <c r="H730" s="522">
        <f t="shared" si="215"/>
        <v>0</v>
      </c>
      <c r="I730" s="522"/>
      <c r="J730" s="522">
        <f t="shared" si="215"/>
        <v>0</v>
      </c>
      <c r="K730" s="522"/>
      <c r="L730" s="521"/>
      <c r="N730" s="521"/>
      <c r="O730" s="521"/>
    </row>
    <row r="731" spans="1:15" s="519" customFormat="1" ht="31.5" x14ac:dyDescent="0.25">
      <c r="A731" s="479" t="s">
        <v>60</v>
      </c>
      <c r="B731" s="453" t="s">
        <v>8</v>
      </c>
      <c r="C731" s="453" t="s">
        <v>7</v>
      </c>
      <c r="D731" s="542" t="s">
        <v>735</v>
      </c>
      <c r="E731" s="482">
        <v>600</v>
      </c>
      <c r="F731" s="522">
        <f>F732</f>
        <v>6017.1</v>
      </c>
      <c r="G731" s="522">
        <f t="shared" si="215"/>
        <v>4940</v>
      </c>
      <c r="H731" s="522">
        <f t="shared" si="215"/>
        <v>0</v>
      </c>
      <c r="I731" s="522"/>
      <c r="J731" s="522">
        <f t="shared" si="215"/>
        <v>0</v>
      </c>
      <c r="K731" s="522"/>
      <c r="L731" s="521"/>
      <c r="N731" s="521"/>
      <c r="O731" s="521"/>
    </row>
    <row r="732" spans="1:15" s="519" customFormat="1" x14ac:dyDescent="0.25">
      <c r="A732" s="479" t="s">
        <v>61</v>
      </c>
      <c r="B732" s="453" t="s">
        <v>8</v>
      </c>
      <c r="C732" s="453" t="s">
        <v>7</v>
      </c>
      <c r="D732" s="542" t="s">
        <v>735</v>
      </c>
      <c r="E732" s="482">
        <v>610</v>
      </c>
      <c r="F732" s="522">
        <f>'ведом. 2025-2027'!AD378</f>
        <v>6017.1</v>
      </c>
      <c r="G732" s="524">
        <v>4940</v>
      </c>
      <c r="H732" s="522">
        <f>'ведом. 2025-2027'!AE378</f>
        <v>0</v>
      </c>
      <c r="I732" s="522"/>
      <c r="J732" s="522">
        <f>'ведом. 2025-2027'!AF378</f>
        <v>0</v>
      </c>
      <c r="K732" s="522"/>
      <c r="L732" s="521"/>
      <c r="N732" s="521"/>
      <c r="O732" s="521"/>
    </row>
    <row r="733" spans="1:15" s="138" customFormat="1" x14ac:dyDescent="0.25">
      <c r="A733" s="385" t="s">
        <v>262</v>
      </c>
      <c r="B733" s="196" t="s">
        <v>8</v>
      </c>
      <c r="C733" s="4" t="s">
        <v>7</v>
      </c>
      <c r="D733" s="26" t="s">
        <v>100</v>
      </c>
      <c r="E733" s="326"/>
      <c r="F733" s="159">
        <f t="shared" ref="F733:K733" si="216">F742+F734</f>
        <v>78326.399999999994</v>
      </c>
      <c r="G733" s="306">
        <f t="shared" si="216"/>
        <v>5457</v>
      </c>
      <c r="H733" s="522">
        <f t="shared" si="216"/>
        <v>76082.2</v>
      </c>
      <c r="I733" s="522">
        <f t="shared" si="216"/>
        <v>5026</v>
      </c>
      <c r="J733" s="522">
        <f t="shared" si="216"/>
        <v>78468.3</v>
      </c>
      <c r="K733" s="522">
        <f t="shared" si="216"/>
        <v>5026</v>
      </c>
      <c r="L733" s="154"/>
      <c r="N733" s="154"/>
      <c r="O733" s="154"/>
    </row>
    <row r="734" spans="1:15" s="177" customFormat="1" x14ac:dyDescent="0.25">
      <c r="A734" s="255" t="s">
        <v>265</v>
      </c>
      <c r="B734" s="191" t="s">
        <v>8</v>
      </c>
      <c r="C734" s="4" t="s">
        <v>7</v>
      </c>
      <c r="D734" s="156" t="s">
        <v>117</v>
      </c>
      <c r="E734" s="326"/>
      <c r="F734" s="159">
        <f t="shared" ref="F734:K737" si="217">F735</f>
        <v>5457</v>
      </c>
      <c r="G734" s="306">
        <f t="shared" si="217"/>
        <v>5457</v>
      </c>
      <c r="H734" s="522">
        <f t="shared" si="217"/>
        <v>5026</v>
      </c>
      <c r="I734" s="522">
        <f t="shared" si="217"/>
        <v>5026</v>
      </c>
      <c r="J734" s="522">
        <f t="shared" si="217"/>
        <v>5026</v>
      </c>
      <c r="K734" s="522">
        <f t="shared" si="217"/>
        <v>5026</v>
      </c>
      <c r="L734" s="154"/>
      <c r="N734" s="154"/>
      <c r="O734" s="154"/>
    </row>
    <row r="735" spans="1:15" s="177" customFormat="1" ht="31.5" x14ac:dyDescent="0.25">
      <c r="A735" s="271" t="s">
        <v>266</v>
      </c>
      <c r="B735" s="191" t="s">
        <v>8</v>
      </c>
      <c r="C735" s="4" t="s">
        <v>7</v>
      </c>
      <c r="D735" s="156" t="s">
        <v>446</v>
      </c>
      <c r="E735" s="326"/>
      <c r="F735" s="159">
        <f>F736+F739</f>
        <v>5457</v>
      </c>
      <c r="G735" s="522">
        <f t="shared" ref="G735:K735" si="218">G736+G739</f>
        <v>5457</v>
      </c>
      <c r="H735" s="522">
        <f t="shared" si="218"/>
        <v>5026</v>
      </c>
      <c r="I735" s="522">
        <f t="shared" si="218"/>
        <v>5026</v>
      </c>
      <c r="J735" s="522">
        <f t="shared" si="218"/>
        <v>5026</v>
      </c>
      <c r="K735" s="522">
        <f t="shared" si="218"/>
        <v>5026</v>
      </c>
      <c r="L735" s="154"/>
      <c r="N735" s="154"/>
      <c r="O735" s="154"/>
    </row>
    <row r="736" spans="1:15" s="177" customFormat="1" ht="141.75" x14ac:dyDescent="0.25">
      <c r="A736" s="256" t="s">
        <v>399</v>
      </c>
      <c r="B736" s="192" t="s">
        <v>8</v>
      </c>
      <c r="C736" s="186" t="s">
        <v>7</v>
      </c>
      <c r="D736" s="156" t="s">
        <v>470</v>
      </c>
      <c r="E736" s="326"/>
      <c r="F736" s="159">
        <f t="shared" si="217"/>
        <v>5249</v>
      </c>
      <c r="G736" s="306">
        <f t="shared" si="217"/>
        <v>5249</v>
      </c>
      <c r="H736" s="522">
        <f t="shared" si="217"/>
        <v>5026</v>
      </c>
      <c r="I736" s="522">
        <f t="shared" si="217"/>
        <v>5026</v>
      </c>
      <c r="J736" s="522">
        <f t="shared" si="217"/>
        <v>5026</v>
      </c>
      <c r="K736" s="522">
        <f t="shared" si="217"/>
        <v>5026</v>
      </c>
      <c r="L736" s="154"/>
      <c r="N736" s="154"/>
      <c r="O736" s="154"/>
    </row>
    <row r="737" spans="1:15" s="177" customFormat="1" ht="31.5" x14ac:dyDescent="0.25">
      <c r="A737" s="253" t="s">
        <v>60</v>
      </c>
      <c r="B737" s="191" t="s">
        <v>8</v>
      </c>
      <c r="C737" s="4" t="s">
        <v>7</v>
      </c>
      <c r="D737" s="156" t="s">
        <v>470</v>
      </c>
      <c r="E737" s="326">
        <v>600</v>
      </c>
      <c r="F737" s="159">
        <f t="shared" si="217"/>
        <v>5249</v>
      </c>
      <c r="G737" s="306">
        <f t="shared" si="217"/>
        <v>5249</v>
      </c>
      <c r="H737" s="522">
        <f t="shared" si="217"/>
        <v>5026</v>
      </c>
      <c r="I737" s="522">
        <f t="shared" si="217"/>
        <v>5026</v>
      </c>
      <c r="J737" s="522">
        <f t="shared" si="217"/>
        <v>5026</v>
      </c>
      <c r="K737" s="522">
        <f t="shared" si="217"/>
        <v>5026</v>
      </c>
      <c r="L737" s="154"/>
      <c r="N737" s="154"/>
      <c r="O737" s="154"/>
    </row>
    <row r="738" spans="1:15" s="177" customFormat="1" x14ac:dyDescent="0.25">
      <c r="A738" s="253" t="s">
        <v>61</v>
      </c>
      <c r="B738" s="191" t="s">
        <v>8</v>
      </c>
      <c r="C738" s="4" t="s">
        <v>7</v>
      </c>
      <c r="D738" s="156" t="s">
        <v>470</v>
      </c>
      <c r="E738" s="326">
        <v>610</v>
      </c>
      <c r="F738" s="159">
        <f>'ведом. 2025-2027'!AD774</f>
        <v>5249</v>
      </c>
      <c r="G738" s="306">
        <f>F738</f>
        <v>5249</v>
      </c>
      <c r="H738" s="522">
        <f>'ведом. 2025-2027'!AE774</f>
        <v>5026</v>
      </c>
      <c r="I738" s="522">
        <f>H738</f>
        <v>5026</v>
      </c>
      <c r="J738" s="522">
        <f>'ведом. 2025-2027'!AF774</f>
        <v>5026</v>
      </c>
      <c r="K738" s="522">
        <f>J738</f>
        <v>5026</v>
      </c>
      <c r="L738" s="154"/>
      <c r="N738" s="154"/>
      <c r="O738" s="154"/>
    </row>
    <row r="739" spans="1:15" s="519" customFormat="1" ht="47.25" x14ac:dyDescent="0.25">
      <c r="A739" s="451" t="s">
        <v>777</v>
      </c>
      <c r="B739" s="453" t="s">
        <v>8</v>
      </c>
      <c r="C739" s="453" t="s">
        <v>7</v>
      </c>
      <c r="D739" s="541" t="s">
        <v>661</v>
      </c>
      <c r="E739" s="454"/>
      <c r="F739" s="522">
        <f>F740</f>
        <v>208</v>
      </c>
      <c r="G739" s="522">
        <f t="shared" ref="G739:J740" si="219">G740</f>
        <v>208</v>
      </c>
      <c r="H739" s="522">
        <f t="shared" si="219"/>
        <v>0</v>
      </c>
      <c r="I739" s="522"/>
      <c r="J739" s="522">
        <f t="shared" si="219"/>
        <v>0</v>
      </c>
      <c r="K739" s="522"/>
      <c r="L739" s="521"/>
      <c r="N739" s="521"/>
      <c r="O739" s="521"/>
    </row>
    <row r="740" spans="1:15" s="519" customFormat="1" ht="31.5" x14ac:dyDescent="0.25">
      <c r="A740" s="451" t="s">
        <v>60</v>
      </c>
      <c r="B740" s="453" t="s">
        <v>8</v>
      </c>
      <c r="C740" s="453" t="s">
        <v>7</v>
      </c>
      <c r="D740" s="541" t="s">
        <v>661</v>
      </c>
      <c r="E740" s="454">
        <v>600</v>
      </c>
      <c r="F740" s="522">
        <f>F741</f>
        <v>208</v>
      </c>
      <c r="G740" s="522">
        <f t="shared" si="219"/>
        <v>208</v>
      </c>
      <c r="H740" s="522">
        <f t="shared" si="219"/>
        <v>0</v>
      </c>
      <c r="I740" s="522"/>
      <c r="J740" s="522">
        <f t="shared" si="219"/>
        <v>0</v>
      </c>
      <c r="K740" s="522"/>
      <c r="L740" s="521"/>
      <c r="N740" s="521"/>
      <c r="O740" s="521"/>
    </row>
    <row r="741" spans="1:15" s="519" customFormat="1" x14ac:dyDescent="0.25">
      <c r="A741" s="451" t="s">
        <v>61</v>
      </c>
      <c r="B741" s="453" t="s">
        <v>8</v>
      </c>
      <c r="C741" s="453" t="s">
        <v>7</v>
      </c>
      <c r="D741" s="541" t="s">
        <v>661</v>
      </c>
      <c r="E741" s="454">
        <v>610</v>
      </c>
      <c r="F741" s="522">
        <f>'ведом. 2025-2027'!AD777</f>
        <v>208</v>
      </c>
      <c r="G741" s="524">
        <f>F741</f>
        <v>208</v>
      </c>
      <c r="H741" s="522">
        <f>'ведом. 2025-2027'!AE777</f>
        <v>0</v>
      </c>
      <c r="I741" s="522"/>
      <c r="J741" s="522">
        <f>'ведом. 2025-2027'!AF777</f>
        <v>0</v>
      </c>
      <c r="K741" s="522"/>
      <c r="L741" s="521"/>
      <c r="N741" s="521"/>
      <c r="O741" s="521"/>
    </row>
    <row r="742" spans="1:15" s="138" customFormat="1" ht="31.5" x14ac:dyDescent="0.25">
      <c r="A742" s="255" t="s">
        <v>474</v>
      </c>
      <c r="B742" s="196" t="s">
        <v>8</v>
      </c>
      <c r="C742" s="4" t="s">
        <v>7</v>
      </c>
      <c r="D742" s="156" t="s">
        <v>101</v>
      </c>
      <c r="E742" s="340"/>
      <c r="F742" s="159">
        <f>F743+F751</f>
        <v>72869.399999999994</v>
      </c>
      <c r="G742" s="306"/>
      <c r="H742" s="522">
        <f>H743+H751</f>
        <v>71056.2</v>
      </c>
      <c r="I742" s="522"/>
      <c r="J742" s="522">
        <f>J743+J751</f>
        <v>73442.3</v>
      </c>
      <c r="K742" s="522"/>
      <c r="L742" s="154"/>
      <c r="N742" s="154"/>
      <c r="O742" s="154"/>
    </row>
    <row r="743" spans="1:15" s="138" customFormat="1" ht="31.5" x14ac:dyDescent="0.25">
      <c r="A743" s="255" t="s">
        <v>475</v>
      </c>
      <c r="B743" s="196" t="s">
        <v>8</v>
      </c>
      <c r="C743" s="4" t="s">
        <v>7</v>
      </c>
      <c r="D743" s="156" t="s">
        <v>476</v>
      </c>
      <c r="E743" s="340"/>
      <c r="F743" s="159">
        <f>F744</f>
        <v>54353.899999999994</v>
      </c>
      <c r="G743" s="522"/>
      <c r="H743" s="522">
        <f t="shared" ref="H743:J743" si="220">H744</f>
        <v>38974.5</v>
      </c>
      <c r="I743" s="522"/>
      <c r="J743" s="522">
        <f t="shared" si="220"/>
        <v>39288.600000000006</v>
      </c>
      <c r="K743" s="522"/>
      <c r="L743" s="154"/>
      <c r="N743" s="154"/>
      <c r="O743" s="154"/>
    </row>
    <row r="744" spans="1:15" s="138" customFormat="1" ht="31.5" x14ac:dyDescent="0.25">
      <c r="A744" s="255" t="s">
        <v>268</v>
      </c>
      <c r="B744" s="196" t="s">
        <v>8</v>
      </c>
      <c r="C744" s="4" t="s">
        <v>7</v>
      </c>
      <c r="D744" s="156" t="s">
        <v>477</v>
      </c>
      <c r="E744" s="342"/>
      <c r="F744" s="159">
        <f>F745+F748</f>
        <v>54353.899999999994</v>
      </c>
      <c r="G744" s="522"/>
      <c r="H744" s="522">
        <f t="shared" ref="H744:J744" si="221">H745+H748</f>
        <v>38974.5</v>
      </c>
      <c r="I744" s="522"/>
      <c r="J744" s="522">
        <f t="shared" si="221"/>
        <v>39288.600000000006</v>
      </c>
      <c r="K744" s="522"/>
      <c r="L744" s="154"/>
      <c r="N744" s="154"/>
      <c r="O744" s="154"/>
    </row>
    <row r="745" spans="1:15" s="177" customFormat="1" ht="31.5" x14ac:dyDescent="0.25">
      <c r="A745" s="375" t="s">
        <v>331</v>
      </c>
      <c r="B745" s="196" t="s">
        <v>8</v>
      </c>
      <c r="C745" s="4" t="s">
        <v>7</v>
      </c>
      <c r="D745" s="156" t="s">
        <v>478</v>
      </c>
      <c r="E745" s="343"/>
      <c r="F745" s="159">
        <f>F747</f>
        <v>54263.899999999994</v>
      </c>
      <c r="G745" s="306"/>
      <c r="H745" s="522">
        <f>H747</f>
        <v>38974.5</v>
      </c>
      <c r="I745" s="522"/>
      <c r="J745" s="522">
        <f>J747</f>
        <v>39288.600000000006</v>
      </c>
      <c r="K745" s="522"/>
      <c r="L745" s="154"/>
      <c r="N745" s="154"/>
      <c r="O745" s="154"/>
    </row>
    <row r="746" spans="1:15" s="177" customFormat="1" ht="31.5" x14ac:dyDescent="0.25">
      <c r="A746" s="375" t="s">
        <v>60</v>
      </c>
      <c r="B746" s="196" t="s">
        <v>8</v>
      </c>
      <c r="C746" s="4" t="s">
        <v>7</v>
      </c>
      <c r="D746" s="156" t="s">
        <v>478</v>
      </c>
      <c r="E746" s="326">
        <v>600</v>
      </c>
      <c r="F746" s="159">
        <f>F747</f>
        <v>54263.899999999994</v>
      </c>
      <c r="G746" s="306"/>
      <c r="H746" s="522">
        <f>H747</f>
        <v>38974.5</v>
      </c>
      <c r="I746" s="522"/>
      <c r="J746" s="522">
        <f>J747</f>
        <v>39288.600000000006</v>
      </c>
      <c r="K746" s="522"/>
      <c r="L746" s="154"/>
      <c r="N746" s="154"/>
      <c r="O746" s="154"/>
    </row>
    <row r="747" spans="1:15" s="177" customFormat="1" x14ac:dyDescent="0.25">
      <c r="A747" s="375" t="s">
        <v>61</v>
      </c>
      <c r="B747" s="196" t="s">
        <v>8</v>
      </c>
      <c r="C747" s="4" t="s">
        <v>7</v>
      </c>
      <c r="D747" s="156" t="s">
        <v>478</v>
      </c>
      <c r="E747" s="326">
        <v>610</v>
      </c>
      <c r="F747" s="159">
        <f>'ведом. 2025-2027'!AD783</f>
        <v>54263.899999999994</v>
      </c>
      <c r="G747" s="306"/>
      <c r="H747" s="522">
        <f>'ведом. 2025-2027'!AE783</f>
        <v>38974.5</v>
      </c>
      <c r="I747" s="522"/>
      <c r="J747" s="522">
        <f>'ведом. 2025-2027'!AF783</f>
        <v>39288.600000000006</v>
      </c>
      <c r="K747" s="522"/>
      <c r="L747" s="154"/>
      <c r="N747" s="154"/>
      <c r="O747" s="154"/>
    </row>
    <row r="748" spans="1:15" s="519" customFormat="1" ht="31.5" x14ac:dyDescent="0.25">
      <c r="A748" s="451" t="s">
        <v>861</v>
      </c>
      <c r="B748" s="477" t="s">
        <v>8</v>
      </c>
      <c r="C748" s="453" t="s">
        <v>7</v>
      </c>
      <c r="D748" s="542" t="s">
        <v>862</v>
      </c>
      <c r="E748" s="577"/>
      <c r="F748" s="522">
        <f>F749</f>
        <v>90</v>
      </c>
      <c r="G748" s="522"/>
      <c r="H748" s="522">
        <f t="shared" ref="H748:J749" si="222">H749</f>
        <v>0</v>
      </c>
      <c r="I748" s="522"/>
      <c r="J748" s="522">
        <f t="shared" si="222"/>
        <v>0</v>
      </c>
      <c r="K748" s="522"/>
      <c r="L748" s="521"/>
      <c r="N748" s="521"/>
      <c r="O748" s="521"/>
    </row>
    <row r="749" spans="1:15" s="519" customFormat="1" ht="31.5" x14ac:dyDescent="0.25">
      <c r="A749" s="451" t="s">
        <v>60</v>
      </c>
      <c r="B749" s="477" t="s">
        <v>8</v>
      </c>
      <c r="C749" s="453" t="s">
        <v>7</v>
      </c>
      <c r="D749" s="542" t="s">
        <v>862</v>
      </c>
      <c r="E749" s="454">
        <v>600</v>
      </c>
      <c r="F749" s="522">
        <f>F750</f>
        <v>90</v>
      </c>
      <c r="G749" s="522"/>
      <c r="H749" s="522">
        <f t="shared" si="222"/>
        <v>0</v>
      </c>
      <c r="I749" s="522"/>
      <c r="J749" s="522">
        <f t="shared" si="222"/>
        <v>0</v>
      </c>
      <c r="K749" s="522"/>
      <c r="L749" s="521"/>
      <c r="N749" s="521"/>
      <c r="O749" s="521"/>
    </row>
    <row r="750" spans="1:15" s="519" customFormat="1" x14ac:dyDescent="0.25">
      <c r="A750" s="451" t="s">
        <v>61</v>
      </c>
      <c r="B750" s="477" t="s">
        <v>8</v>
      </c>
      <c r="C750" s="453" t="s">
        <v>7</v>
      </c>
      <c r="D750" s="542" t="s">
        <v>862</v>
      </c>
      <c r="E750" s="454">
        <v>610</v>
      </c>
      <c r="F750" s="522">
        <f>'ведом. 2025-2027'!AD786</f>
        <v>90</v>
      </c>
      <c r="G750" s="524"/>
      <c r="H750" s="522">
        <f>'ведом. 2025-2027'!AE786</f>
        <v>0</v>
      </c>
      <c r="I750" s="522"/>
      <c r="J750" s="522">
        <f>'ведом. 2025-2027'!AF786</f>
        <v>0</v>
      </c>
      <c r="K750" s="522"/>
      <c r="L750" s="521"/>
      <c r="N750" s="521"/>
      <c r="O750" s="521"/>
    </row>
    <row r="751" spans="1:15" s="138" customFormat="1" ht="31.5" x14ac:dyDescent="0.25">
      <c r="A751" s="255" t="s">
        <v>479</v>
      </c>
      <c r="B751" s="196" t="s">
        <v>8</v>
      </c>
      <c r="C751" s="4" t="s">
        <v>7</v>
      </c>
      <c r="D751" s="156" t="s">
        <v>480</v>
      </c>
      <c r="E751" s="326"/>
      <c r="F751" s="159">
        <f>F752</f>
        <v>18515.5</v>
      </c>
      <c r="G751" s="306"/>
      <c r="H751" s="522">
        <f>H752</f>
        <v>32081.7</v>
      </c>
      <c r="I751" s="522"/>
      <c r="J751" s="522">
        <f>J752</f>
        <v>34153.699999999997</v>
      </c>
      <c r="K751" s="522"/>
      <c r="L751" s="154"/>
      <c r="N751" s="154"/>
      <c r="O751" s="154"/>
    </row>
    <row r="752" spans="1:15" s="138" customFormat="1" ht="31.5" x14ac:dyDescent="0.25">
      <c r="A752" s="256" t="s">
        <v>156</v>
      </c>
      <c r="B752" s="196" t="s">
        <v>8</v>
      </c>
      <c r="C752" s="4" t="s">
        <v>7</v>
      </c>
      <c r="D752" s="156" t="s">
        <v>481</v>
      </c>
      <c r="E752" s="326"/>
      <c r="F752" s="159">
        <f>F753</f>
        <v>18515.5</v>
      </c>
      <c r="G752" s="522"/>
      <c r="H752" s="522">
        <f t="shared" ref="H752:J752" si="223">H753</f>
        <v>32081.7</v>
      </c>
      <c r="I752" s="522"/>
      <c r="J752" s="522">
        <f t="shared" si="223"/>
        <v>34153.699999999997</v>
      </c>
      <c r="K752" s="522"/>
      <c r="L752" s="154"/>
      <c r="N752" s="154"/>
      <c r="O752" s="154"/>
    </row>
    <row r="753" spans="1:15" s="138" customFormat="1" ht="31.5" x14ac:dyDescent="0.25">
      <c r="A753" s="375" t="s">
        <v>60</v>
      </c>
      <c r="B753" s="196" t="s">
        <v>8</v>
      </c>
      <c r="C753" s="4" t="s">
        <v>7</v>
      </c>
      <c r="D753" s="156" t="s">
        <v>481</v>
      </c>
      <c r="E753" s="326">
        <v>600</v>
      </c>
      <c r="F753" s="159">
        <f>F754+F755+F756</f>
        <v>18515.5</v>
      </c>
      <c r="G753" s="306"/>
      <c r="H753" s="522">
        <f>H754+H755+H756</f>
        <v>32081.7</v>
      </c>
      <c r="I753" s="522"/>
      <c r="J753" s="522">
        <f>J754+J755+J756</f>
        <v>34153.699999999997</v>
      </c>
      <c r="K753" s="522"/>
      <c r="L753" s="154"/>
      <c r="N753" s="154"/>
      <c r="O753" s="154"/>
    </row>
    <row r="754" spans="1:15" s="138" customFormat="1" x14ac:dyDescent="0.25">
      <c r="A754" s="375" t="s">
        <v>61</v>
      </c>
      <c r="B754" s="196" t="s">
        <v>8</v>
      </c>
      <c r="C754" s="4" t="s">
        <v>7</v>
      </c>
      <c r="D754" s="156" t="s">
        <v>481</v>
      </c>
      <c r="E754" s="326">
        <v>610</v>
      </c>
      <c r="F754" s="159">
        <f>'ведом. 2025-2027'!AD790</f>
        <v>15189.8</v>
      </c>
      <c r="G754" s="306"/>
      <c r="H754" s="522">
        <f>'ведом. 2025-2027'!AE790</f>
        <v>28747.1</v>
      </c>
      <c r="I754" s="522"/>
      <c r="J754" s="522">
        <f>'ведом. 2025-2027'!AF790</f>
        <v>30816.199999999997</v>
      </c>
      <c r="K754" s="522"/>
      <c r="L754" s="154"/>
      <c r="N754" s="154"/>
      <c r="O754" s="154"/>
    </row>
    <row r="755" spans="1:15" s="177" customFormat="1" x14ac:dyDescent="0.25">
      <c r="A755" s="253" t="s">
        <v>130</v>
      </c>
      <c r="B755" s="196" t="s">
        <v>8</v>
      </c>
      <c r="C755" s="4" t="s">
        <v>7</v>
      </c>
      <c r="D755" s="156" t="s">
        <v>481</v>
      </c>
      <c r="E755" s="326">
        <v>620</v>
      </c>
      <c r="F755" s="159">
        <f>'ведом. 2025-2027'!AD791</f>
        <v>2697</v>
      </c>
      <c r="G755" s="306"/>
      <c r="H755" s="522">
        <f>'ведом. 2025-2027'!AE791</f>
        <v>2705.8999999999996</v>
      </c>
      <c r="I755" s="522"/>
      <c r="J755" s="522">
        <f>'ведом. 2025-2027'!AF791</f>
        <v>2708.8</v>
      </c>
      <c r="K755" s="522"/>
      <c r="L755" s="154"/>
      <c r="N755" s="154"/>
      <c r="O755" s="154"/>
    </row>
    <row r="756" spans="1:15" s="177" customFormat="1" ht="47.25" x14ac:dyDescent="0.25">
      <c r="A756" s="253" t="s">
        <v>363</v>
      </c>
      <c r="B756" s="196" t="s">
        <v>8</v>
      </c>
      <c r="C756" s="4" t="s">
        <v>7</v>
      </c>
      <c r="D756" s="156" t="s">
        <v>481</v>
      </c>
      <c r="E756" s="326">
        <v>630</v>
      </c>
      <c r="F756" s="159">
        <f>'ведом. 2025-2027'!AD792</f>
        <v>628.70000000000005</v>
      </c>
      <c r="G756" s="306"/>
      <c r="H756" s="522">
        <f>'ведом. 2025-2027'!AE792</f>
        <v>628.70000000000005</v>
      </c>
      <c r="I756" s="522"/>
      <c r="J756" s="522">
        <f>'ведом. 2025-2027'!AF792</f>
        <v>628.70000000000005</v>
      </c>
      <c r="K756" s="522"/>
      <c r="L756" s="154"/>
      <c r="N756" s="154"/>
      <c r="O756" s="154"/>
    </row>
    <row r="757" spans="1:15" s="138" customFormat="1" x14ac:dyDescent="0.25">
      <c r="A757" s="375" t="s">
        <v>135</v>
      </c>
      <c r="B757" s="191" t="s">
        <v>8</v>
      </c>
      <c r="C757" s="4" t="s">
        <v>8</v>
      </c>
      <c r="D757" s="26"/>
      <c r="E757" s="325"/>
      <c r="F757" s="159">
        <f>F758+F764</f>
        <v>3017.9</v>
      </c>
      <c r="G757" s="159"/>
      <c r="H757" s="522">
        <f>H758+H764</f>
        <v>2157.9</v>
      </c>
      <c r="I757" s="522"/>
      <c r="J757" s="522">
        <f>J758+J764</f>
        <v>2246.4</v>
      </c>
      <c r="K757" s="522"/>
      <c r="L757" s="154"/>
      <c r="N757" s="154"/>
      <c r="O757" s="154"/>
    </row>
    <row r="758" spans="1:15" s="138" customFormat="1" ht="31.5" x14ac:dyDescent="0.25">
      <c r="A758" s="255" t="s">
        <v>161</v>
      </c>
      <c r="B758" s="191" t="s">
        <v>8</v>
      </c>
      <c r="C758" s="4" t="s">
        <v>8</v>
      </c>
      <c r="D758" s="26" t="s">
        <v>102</v>
      </c>
      <c r="E758" s="325"/>
      <c r="F758" s="159">
        <f>F759</f>
        <v>286.8</v>
      </c>
      <c r="G758" s="306"/>
      <c r="H758" s="522">
        <f>H759</f>
        <v>295.2</v>
      </c>
      <c r="I758" s="522"/>
      <c r="J758" s="522">
        <f>J759</f>
        <v>295.2</v>
      </c>
      <c r="K758" s="522"/>
      <c r="L758" s="154"/>
      <c r="N758" s="154"/>
      <c r="O758" s="154"/>
    </row>
    <row r="759" spans="1:15" s="138" customFormat="1" x14ac:dyDescent="0.25">
      <c r="A759" s="259" t="s">
        <v>162</v>
      </c>
      <c r="B759" s="191" t="s">
        <v>8</v>
      </c>
      <c r="C759" s="4" t="s">
        <v>8</v>
      </c>
      <c r="D759" s="26" t="s">
        <v>106</v>
      </c>
      <c r="E759" s="325"/>
      <c r="F759" s="159">
        <f>F760</f>
        <v>286.8</v>
      </c>
      <c r="G759" s="306"/>
      <c r="H759" s="522">
        <f>H760</f>
        <v>295.2</v>
      </c>
      <c r="I759" s="522"/>
      <c r="J759" s="522">
        <f>J760</f>
        <v>295.2</v>
      </c>
      <c r="K759" s="522"/>
      <c r="L759" s="154"/>
      <c r="N759" s="154"/>
      <c r="O759" s="154"/>
    </row>
    <row r="760" spans="1:15" s="138" customFormat="1" ht="31.5" x14ac:dyDescent="0.25">
      <c r="A760" s="277" t="s">
        <v>526</v>
      </c>
      <c r="B760" s="191" t="s">
        <v>8</v>
      </c>
      <c r="C760" s="4" t="s">
        <v>8</v>
      </c>
      <c r="D760" s="156" t="s">
        <v>166</v>
      </c>
      <c r="E760" s="325"/>
      <c r="F760" s="159">
        <f>F761</f>
        <v>286.8</v>
      </c>
      <c r="G760" s="306"/>
      <c r="H760" s="522">
        <f>H761</f>
        <v>295.2</v>
      </c>
      <c r="I760" s="522"/>
      <c r="J760" s="522">
        <f>J761</f>
        <v>295.2</v>
      </c>
      <c r="K760" s="522"/>
      <c r="L760" s="154"/>
      <c r="N760" s="154"/>
      <c r="O760" s="154"/>
    </row>
    <row r="761" spans="1:15" s="138" customFormat="1" ht="31.5" x14ac:dyDescent="0.25">
      <c r="A761" s="259" t="s">
        <v>597</v>
      </c>
      <c r="B761" s="191" t="s">
        <v>8</v>
      </c>
      <c r="C761" s="4" t="s">
        <v>8</v>
      </c>
      <c r="D761" s="291" t="s">
        <v>598</v>
      </c>
      <c r="E761" s="325"/>
      <c r="F761" s="159">
        <f>F762</f>
        <v>286.8</v>
      </c>
      <c r="G761" s="306"/>
      <c r="H761" s="522">
        <f>H762</f>
        <v>295.2</v>
      </c>
      <c r="I761" s="522"/>
      <c r="J761" s="522">
        <f>J762</f>
        <v>295.2</v>
      </c>
      <c r="K761" s="522"/>
      <c r="L761" s="154"/>
      <c r="N761" s="154"/>
      <c r="O761" s="154"/>
    </row>
    <row r="762" spans="1:15" s="138" customFormat="1" x14ac:dyDescent="0.25">
      <c r="A762" s="253" t="s">
        <v>120</v>
      </c>
      <c r="B762" s="191" t="s">
        <v>8</v>
      </c>
      <c r="C762" s="4" t="s">
        <v>8</v>
      </c>
      <c r="D762" s="291" t="s">
        <v>598</v>
      </c>
      <c r="E762" s="326">
        <v>200</v>
      </c>
      <c r="F762" s="159">
        <f>F763</f>
        <v>286.8</v>
      </c>
      <c r="G762" s="306"/>
      <c r="H762" s="522">
        <f>H763</f>
        <v>295.2</v>
      </c>
      <c r="I762" s="522"/>
      <c r="J762" s="522">
        <f>J763</f>
        <v>295.2</v>
      </c>
      <c r="K762" s="522"/>
      <c r="L762" s="154"/>
      <c r="N762" s="154"/>
      <c r="O762" s="154"/>
    </row>
    <row r="763" spans="1:15" s="138" customFormat="1" ht="31.5" x14ac:dyDescent="0.25">
      <c r="A763" s="253" t="s">
        <v>52</v>
      </c>
      <c r="B763" s="191" t="s">
        <v>8</v>
      </c>
      <c r="C763" s="4" t="s">
        <v>8</v>
      </c>
      <c r="D763" s="291" t="s">
        <v>598</v>
      </c>
      <c r="E763" s="326">
        <v>240</v>
      </c>
      <c r="F763" s="159">
        <f>'ведом. 2025-2027'!AD385</f>
        <v>286.8</v>
      </c>
      <c r="G763" s="306"/>
      <c r="H763" s="522">
        <f>'ведом. 2025-2027'!AE385</f>
        <v>295.2</v>
      </c>
      <c r="I763" s="522"/>
      <c r="J763" s="522">
        <f>'ведом. 2025-2027'!AF385</f>
        <v>295.2</v>
      </c>
      <c r="K763" s="522"/>
      <c r="L763" s="154"/>
      <c r="N763" s="154"/>
      <c r="O763" s="154"/>
    </row>
    <row r="764" spans="1:15" s="138" customFormat="1" ht="31.5" x14ac:dyDescent="0.25">
      <c r="A764" s="255" t="s">
        <v>298</v>
      </c>
      <c r="B764" s="191" t="s">
        <v>8</v>
      </c>
      <c r="C764" s="4" t="s">
        <v>8</v>
      </c>
      <c r="D764" s="156" t="s">
        <v>132</v>
      </c>
      <c r="E764" s="326"/>
      <c r="F764" s="159">
        <f>F765+F776</f>
        <v>2731.1</v>
      </c>
      <c r="G764" s="522"/>
      <c r="H764" s="522">
        <f t="shared" ref="H764:J764" si="224">H765+H776</f>
        <v>1862.7</v>
      </c>
      <c r="I764" s="522"/>
      <c r="J764" s="522">
        <f t="shared" si="224"/>
        <v>1951.2</v>
      </c>
      <c r="K764" s="522"/>
      <c r="L764" s="154"/>
      <c r="N764" s="154"/>
      <c r="O764" s="154"/>
    </row>
    <row r="765" spans="1:15" s="138" customFormat="1" x14ac:dyDescent="0.25">
      <c r="A765" s="255" t="s">
        <v>307</v>
      </c>
      <c r="B765" s="11" t="s">
        <v>8</v>
      </c>
      <c r="C765" s="189" t="s">
        <v>8</v>
      </c>
      <c r="D765" s="156" t="s">
        <v>308</v>
      </c>
      <c r="E765" s="326"/>
      <c r="F765" s="159">
        <f>F766+F772</f>
        <v>2581.1</v>
      </c>
      <c r="G765" s="159"/>
      <c r="H765" s="522">
        <f>H766+H772</f>
        <v>1862.7</v>
      </c>
      <c r="I765" s="522"/>
      <c r="J765" s="522">
        <f>J766+J772</f>
        <v>1951.2</v>
      </c>
      <c r="K765" s="522"/>
      <c r="L765" s="154"/>
      <c r="N765" s="154"/>
      <c r="O765" s="154"/>
    </row>
    <row r="766" spans="1:15" s="138" customFormat="1" x14ac:dyDescent="0.25">
      <c r="A766" s="272" t="s">
        <v>512</v>
      </c>
      <c r="B766" s="11" t="s">
        <v>8</v>
      </c>
      <c r="C766" s="189" t="s">
        <v>8</v>
      </c>
      <c r="D766" s="156" t="s">
        <v>309</v>
      </c>
      <c r="E766" s="326"/>
      <c r="F766" s="159">
        <f>F767</f>
        <v>1330.6</v>
      </c>
      <c r="G766" s="159"/>
      <c r="H766" s="522">
        <f>H767</f>
        <v>612.20000000000005</v>
      </c>
      <c r="I766" s="522"/>
      <c r="J766" s="522">
        <f>J767</f>
        <v>700.7</v>
      </c>
      <c r="K766" s="522"/>
      <c r="L766" s="154"/>
      <c r="N766" s="154"/>
      <c r="O766" s="154"/>
    </row>
    <row r="767" spans="1:15" s="138" customFormat="1" ht="36" customHeight="1" x14ac:dyDescent="0.25">
      <c r="A767" s="278" t="s">
        <v>772</v>
      </c>
      <c r="B767" s="191" t="s">
        <v>8</v>
      </c>
      <c r="C767" s="4" t="s">
        <v>8</v>
      </c>
      <c r="D767" s="156" t="s">
        <v>310</v>
      </c>
      <c r="E767" s="326"/>
      <c r="F767" s="159">
        <f>F768+F770</f>
        <v>1330.6</v>
      </c>
      <c r="G767" s="522"/>
      <c r="H767" s="522">
        <f t="shared" ref="H767:J767" si="225">H768+H770</f>
        <v>612.20000000000005</v>
      </c>
      <c r="I767" s="522"/>
      <c r="J767" s="522">
        <f t="shared" si="225"/>
        <v>700.7</v>
      </c>
      <c r="K767" s="522"/>
      <c r="L767" s="154"/>
      <c r="N767" s="154"/>
      <c r="O767" s="154"/>
    </row>
    <row r="768" spans="1:15" s="138" customFormat="1" x14ac:dyDescent="0.25">
      <c r="A768" s="253" t="s">
        <v>120</v>
      </c>
      <c r="B768" s="11" t="s">
        <v>8</v>
      </c>
      <c r="C768" s="189" t="s">
        <v>8</v>
      </c>
      <c r="D768" s="156" t="s">
        <v>310</v>
      </c>
      <c r="E768" s="326">
        <v>200</v>
      </c>
      <c r="F768" s="159">
        <f>F769</f>
        <v>597.29999999999984</v>
      </c>
      <c r="G768" s="351"/>
      <c r="H768" s="522">
        <f>H769</f>
        <v>450.00000000000006</v>
      </c>
      <c r="I768" s="163"/>
      <c r="J768" s="522">
        <f>J769</f>
        <v>450.00000000000006</v>
      </c>
      <c r="K768" s="163"/>
      <c r="L768" s="154"/>
      <c r="N768" s="154"/>
      <c r="O768" s="154"/>
    </row>
    <row r="769" spans="1:15" s="138" customFormat="1" ht="31.5" x14ac:dyDescent="0.25">
      <c r="A769" s="253" t="s">
        <v>52</v>
      </c>
      <c r="B769" s="11" t="s">
        <v>8</v>
      </c>
      <c r="C769" s="189" t="s">
        <v>8</v>
      </c>
      <c r="D769" s="156" t="s">
        <v>310</v>
      </c>
      <c r="E769" s="326">
        <v>240</v>
      </c>
      <c r="F769" s="159">
        <f>'ведом. 2025-2027'!AD391</f>
        <v>597.29999999999984</v>
      </c>
      <c r="G769" s="306"/>
      <c r="H769" s="522">
        <f>'ведом. 2025-2027'!AE391</f>
        <v>450.00000000000006</v>
      </c>
      <c r="I769" s="522"/>
      <c r="J769" s="522">
        <f>'ведом. 2025-2027'!AF391</f>
        <v>450.00000000000006</v>
      </c>
      <c r="K769" s="522"/>
      <c r="L769" s="154"/>
      <c r="N769" s="154"/>
      <c r="O769" s="154"/>
    </row>
    <row r="770" spans="1:15" s="519" customFormat="1" ht="31.5" x14ac:dyDescent="0.25">
      <c r="A770" s="479" t="s">
        <v>60</v>
      </c>
      <c r="B770" s="474" t="s">
        <v>8</v>
      </c>
      <c r="C770" s="474" t="s">
        <v>8</v>
      </c>
      <c r="D770" s="542" t="s">
        <v>310</v>
      </c>
      <c r="E770" s="454">
        <v>600</v>
      </c>
      <c r="F770" s="522">
        <f>F771</f>
        <v>733.30000000000007</v>
      </c>
      <c r="G770" s="522"/>
      <c r="H770" s="522">
        <f t="shared" ref="H770:J770" si="226">H771</f>
        <v>162.19999999999999</v>
      </c>
      <c r="I770" s="522"/>
      <c r="J770" s="522">
        <f t="shared" si="226"/>
        <v>250.7</v>
      </c>
      <c r="K770" s="522"/>
      <c r="L770" s="521"/>
      <c r="N770" s="521"/>
      <c r="O770" s="521"/>
    </row>
    <row r="771" spans="1:15" s="519" customFormat="1" x14ac:dyDescent="0.25">
      <c r="A771" s="479" t="s">
        <v>61</v>
      </c>
      <c r="B771" s="474" t="s">
        <v>8</v>
      </c>
      <c r="C771" s="474" t="s">
        <v>8</v>
      </c>
      <c r="D771" s="542" t="s">
        <v>310</v>
      </c>
      <c r="E771" s="454">
        <v>610</v>
      </c>
      <c r="F771" s="522">
        <f>'ведом. 2025-2027'!AD393</f>
        <v>733.30000000000007</v>
      </c>
      <c r="G771" s="524"/>
      <c r="H771" s="522">
        <f>'ведом. 2025-2027'!AE393</f>
        <v>162.19999999999999</v>
      </c>
      <c r="I771" s="522"/>
      <c r="J771" s="522">
        <f>'ведом. 2025-2027'!AF393</f>
        <v>250.7</v>
      </c>
      <c r="K771" s="522"/>
      <c r="L771" s="521"/>
      <c r="N771" s="521"/>
      <c r="O771" s="521"/>
    </row>
    <row r="772" spans="1:15" s="177" customFormat="1" ht="63" x14ac:dyDescent="0.25">
      <c r="A772" s="376" t="s">
        <v>578</v>
      </c>
      <c r="B772" s="11" t="s">
        <v>8</v>
      </c>
      <c r="C772" s="189" t="s">
        <v>8</v>
      </c>
      <c r="D772" s="309" t="s">
        <v>579</v>
      </c>
      <c r="E772" s="326"/>
      <c r="F772" s="159">
        <f>F773</f>
        <v>1250.5</v>
      </c>
      <c r="G772" s="306"/>
      <c r="H772" s="522">
        <f>H773</f>
        <v>1250.5</v>
      </c>
      <c r="I772" s="522"/>
      <c r="J772" s="522">
        <f>J773</f>
        <v>1250.5</v>
      </c>
      <c r="K772" s="522"/>
      <c r="L772" s="154"/>
      <c r="N772" s="154"/>
      <c r="O772" s="154"/>
    </row>
    <row r="773" spans="1:15" s="177" customFormat="1" ht="33.75" customHeight="1" x14ac:dyDescent="0.25">
      <c r="A773" s="376" t="s">
        <v>773</v>
      </c>
      <c r="B773" s="11" t="s">
        <v>8</v>
      </c>
      <c r="C773" s="189" t="s">
        <v>8</v>
      </c>
      <c r="D773" s="309" t="s">
        <v>580</v>
      </c>
      <c r="E773" s="326"/>
      <c r="F773" s="159">
        <f>F774</f>
        <v>1250.5</v>
      </c>
      <c r="G773" s="306"/>
      <c r="H773" s="522">
        <f>H774</f>
        <v>1250.5</v>
      </c>
      <c r="I773" s="522"/>
      <c r="J773" s="522">
        <f>J774</f>
        <v>1250.5</v>
      </c>
      <c r="K773" s="522"/>
      <c r="L773" s="154"/>
      <c r="N773" s="154"/>
      <c r="O773" s="154"/>
    </row>
    <row r="774" spans="1:15" s="177" customFormat="1" ht="31.5" x14ac:dyDescent="0.25">
      <c r="A774" s="375" t="s">
        <v>60</v>
      </c>
      <c r="B774" s="11" t="s">
        <v>8</v>
      </c>
      <c r="C774" s="189" t="s">
        <v>8</v>
      </c>
      <c r="D774" s="309" t="s">
        <v>580</v>
      </c>
      <c r="E774" s="326">
        <v>600</v>
      </c>
      <c r="F774" s="159">
        <f>F775</f>
        <v>1250.5</v>
      </c>
      <c r="G774" s="306"/>
      <c r="H774" s="522">
        <f>H775</f>
        <v>1250.5</v>
      </c>
      <c r="I774" s="522"/>
      <c r="J774" s="522">
        <f>J775</f>
        <v>1250.5</v>
      </c>
      <c r="K774" s="522"/>
      <c r="L774" s="154"/>
      <c r="N774" s="154"/>
      <c r="O774" s="154"/>
    </row>
    <row r="775" spans="1:15" s="177" customFormat="1" x14ac:dyDescent="0.25">
      <c r="A775" s="375" t="s">
        <v>61</v>
      </c>
      <c r="B775" s="11" t="s">
        <v>8</v>
      </c>
      <c r="C775" s="189" t="s">
        <v>8</v>
      </c>
      <c r="D775" s="309" t="s">
        <v>580</v>
      </c>
      <c r="E775" s="326">
        <v>610</v>
      </c>
      <c r="F775" s="159">
        <f>'ведом. 2025-2027'!AD799</f>
        <v>1250.5</v>
      </c>
      <c r="G775" s="306"/>
      <c r="H775" s="522">
        <f>'ведом. 2025-2027'!AE799</f>
        <v>1250.5</v>
      </c>
      <c r="I775" s="522"/>
      <c r="J775" s="522">
        <f>'ведом. 2025-2027'!AF799</f>
        <v>1250.5</v>
      </c>
      <c r="K775" s="522"/>
      <c r="L775" s="154"/>
      <c r="N775" s="154"/>
      <c r="O775" s="154"/>
    </row>
    <row r="776" spans="1:15" s="519" customFormat="1" ht="31.5" x14ac:dyDescent="0.25">
      <c r="A776" s="451" t="s">
        <v>811</v>
      </c>
      <c r="B776" s="474" t="s">
        <v>8</v>
      </c>
      <c r="C776" s="474" t="s">
        <v>8</v>
      </c>
      <c r="D776" s="543" t="s">
        <v>815</v>
      </c>
      <c r="E776" s="454"/>
      <c r="F776" s="522">
        <f>F777</f>
        <v>150</v>
      </c>
      <c r="G776" s="522"/>
      <c r="H776" s="522">
        <f t="shared" ref="H776:J779" si="227">H777</f>
        <v>0</v>
      </c>
      <c r="I776" s="522"/>
      <c r="J776" s="522">
        <f t="shared" si="227"/>
        <v>0</v>
      </c>
      <c r="K776" s="522"/>
      <c r="L776" s="521"/>
      <c r="N776" s="521"/>
      <c r="O776" s="521"/>
    </row>
    <row r="777" spans="1:15" s="519" customFormat="1" ht="31.5" x14ac:dyDescent="0.25">
      <c r="A777" s="451" t="s">
        <v>810</v>
      </c>
      <c r="B777" s="453" t="s">
        <v>8</v>
      </c>
      <c r="C777" s="453" t="s">
        <v>8</v>
      </c>
      <c r="D777" s="543" t="s">
        <v>814</v>
      </c>
      <c r="E777" s="454"/>
      <c r="F777" s="522">
        <f>F778</f>
        <v>150</v>
      </c>
      <c r="G777" s="522"/>
      <c r="H777" s="522">
        <f t="shared" si="227"/>
        <v>0</v>
      </c>
      <c r="I777" s="522"/>
      <c r="J777" s="522">
        <f t="shared" si="227"/>
        <v>0</v>
      </c>
      <c r="K777" s="522"/>
      <c r="L777" s="521"/>
      <c r="N777" s="521"/>
      <c r="O777" s="521"/>
    </row>
    <row r="778" spans="1:15" s="519" customFormat="1" x14ac:dyDescent="0.25">
      <c r="A778" s="451" t="s">
        <v>812</v>
      </c>
      <c r="B778" s="474" t="s">
        <v>8</v>
      </c>
      <c r="C778" s="474" t="s">
        <v>8</v>
      </c>
      <c r="D778" s="543" t="s">
        <v>813</v>
      </c>
      <c r="E778" s="454"/>
      <c r="F778" s="522">
        <f>F779</f>
        <v>150</v>
      </c>
      <c r="G778" s="522"/>
      <c r="H778" s="522">
        <f t="shared" si="227"/>
        <v>0</v>
      </c>
      <c r="I778" s="522"/>
      <c r="J778" s="522">
        <f t="shared" si="227"/>
        <v>0</v>
      </c>
      <c r="K778" s="522"/>
      <c r="L778" s="521"/>
      <c r="N778" s="521"/>
      <c r="O778" s="521"/>
    </row>
    <row r="779" spans="1:15" s="519" customFormat="1" ht="31.5" x14ac:dyDescent="0.25">
      <c r="A779" s="451" t="s">
        <v>60</v>
      </c>
      <c r="B779" s="474" t="s">
        <v>8</v>
      </c>
      <c r="C779" s="474" t="s">
        <v>8</v>
      </c>
      <c r="D779" s="543" t="s">
        <v>813</v>
      </c>
      <c r="E779" s="454">
        <v>600</v>
      </c>
      <c r="F779" s="522">
        <f>F780</f>
        <v>150</v>
      </c>
      <c r="G779" s="522"/>
      <c r="H779" s="522">
        <f t="shared" si="227"/>
        <v>0</v>
      </c>
      <c r="I779" s="522"/>
      <c r="J779" s="522">
        <f t="shared" si="227"/>
        <v>0</v>
      </c>
      <c r="K779" s="522"/>
      <c r="L779" s="521"/>
      <c r="N779" s="521"/>
      <c r="O779" s="521"/>
    </row>
    <row r="780" spans="1:15" s="519" customFormat="1" x14ac:dyDescent="0.25">
      <c r="A780" s="451" t="s">
        <v>61</v>
      </c>
      <c r="B780" s="474" t="s">
        <v>8</v>
      </c>
      <c r="C780" s="474" t="s">
        <v>8</v>
      </c>
      <c r="D780" s="543" t="s">
        <v>813</v>
      </c>
      <c r="E780" s="454">
        <v>610</v>
      </c>
      <c r="F780" s="522">
        <v>150</v>
      </c>
      <c r="G780" s="524"/>
      <c r="H780" s="522">
        <v>0</v>
      </c>
      <c r="I780" s="522"/>
      <c r="J780" s="522">
        <v>0</v>
      </c>
      <c r="K780" s="522"/>
      <c r="L780" s="521"/>
      <c r="N780" s="521"/>
      <c r="O780" s="521"/>
    </row>
    <row r="781" spans="1:15" s="138" customFormat="1" x14ac:dyDescent="0.25">
      <c r="A781" s="375" t="s">
        <v>38</v>
      </c>
      <c r="B781" s="191" t="s">
        <v>8</v>
      </c>
      <c r="C781" s="4" t="s">
        <v>22</v>
      </c>
      <c r="D781" s="26"/>
      <c r="E781" s="326"/>
      <c r="F781" s="159">
        <f t="shared" ref="F781:K781" si="228">F782+F800+F819</f>
        <v>35063.700000000004</v>
      </c>
      <c r="G781" s="306">
        <f t="shared" si="228"/>
        <v>4061</v>
      </c>
      <c r="H781" s="522">
        <f t="shared" si="228"/>
        <v>33009.100000000006</v>
      </c>
      <c r="I781" s="522">
        <f t="shared" si="228"/>
        <v>4229</v>
      </c>
      <c r="J781" s="522">
        <f t="shared" si="228"/>
        <v>33066.100000000006</v>
      </c>
      <c r="K781" s="522">
        <f t="shared" si="228"/>
        <v>4262</v>
      </c>
      <c r="L781" s="154"/>
      <c r="N781" s="154"/>
      <c r="O781" s="154"/>
    </row>
    <row r="782" spans="1:15" s="138" customFormat="1" x14ac:dyDescent="0.25">
      <c r="A782" s="385" t="s">
        <v>262</v>
      </c>
      <c r="B782" s="191" t="s">
        <v>8</v>
      </c>
      <c r="C782" s="4" t="s">
        <v>22</v>
      </c>
      <c r="D782" s="26" t="s">
        <v>100</v>
      </c>
      <c r="E782" s="325"/>
      <c r="F782" s="159">
        <f>F783</f>
        <v>26563.100000000002</v>
      </c>
      <c r="G782" s="159"/>
      <c r="H782" s="522">
        <f>H783</f>
        <v>25755.100000000002</v>
      </c>
      <c r="I782" s="522"/>
      <c r="J782" s="522">
        <f>J783</f>
        <v>25755.100000000002</v>
      </c>
      <c r="K782" s="522"/>
      <c r="L782" s="154"/>
      <c r="N782" s="154"/>
      <c r="O782" s="154"/>
    </row>
    <row r="783" spans="1:15" s="138" customFormat="1" x14ac:dyDescent="0.25">
      <c r="A783" s="255" t="s">
        <v>48</v>
      </c>
      <c r="B783" s="191" t="s">
        <v>8</v>
      </c>
      <c r="C783" s="4" t="s">
        <v>22</v>
      </c>
      <c r="D783" s="156" t="s">
        <v>482</v>
      </c>
      <c r="E783" s="326"/>
      <c r="F783" s="159">
        <f>F784</f>
        <v>26563.100000000002</v>
      </c>
      <c r="G783" s="306"/>
      <c r="H783" s="522">
        <f>H784</f>
        <v>25755.100000000002</v>
      </c>
      <c r="I783" s="522"/>
      <c r="J783" s="522">
        <f>J784</f>
        <v>25755.100000000002</v>
      </c>
      <c r="K783" s="522"/>
      <c r="L783" s="154"/>
      <c r="N783" s="154"/>
      <c r="O783" s="154"/>
    </row>
    <row r="784" spans="1:15" s="138" customFormat="1" ht="31.5" x14ac:dyDescent="0.25">
      <c r="A784" s="255" t="s">
        <v>269</v>
      </c>
      <c r="B784" s="191" t="s">
        <v>8</v>
      </c>
      <c r="C784" s="4" t="s">
        <v>22</v>
      </c>
      <c r="D784" s="156" t="s">
        <v>483</v>
      </c>
      <c r="E784" s="326"/>
      <c r="F784" s="159">
        <f>F785+F795</f>
        <v>26563.100000000002</v>
      </c>
      <c r="G784" s="306"/>
      <c r="H784" s="522">
        <f>H785+H795</f>
        <v>25755.100000000002</v>
      </c>
      <c r="I784" s="522"/>
      <c r="J784" s="522">
        <f>J785+J795</f>
        <v>25755.100000000002</v>
      </c>
      <c r="K784" s="522"/>
      <c r="L784" s="154"/>
      <c r="N784" s="154"/>
      <c r="O784" s="154"/>
    </row>
    <row r="785" spans="1:15" s="138" customFormat="1" x14ac:dyDescent="0.25">
      <c r="A785" s="256" t="s">
        <v>205</v>
      </c>
      <c r="B785" s="191" t="s">
        <v>8</v>
      </c>
      <c r="C785" s="4" t="s">
        <v>22</v>
      </c>
      <c r="D785" s="156" t="s">
        <v>484</v>
      </c>
      <c r="E785" s="326"/>
      <c r="F785" s="159">
        <f>F786+F789+F792</f>
        <v>26475.200000000001</v>
      </c>
      <c r="G785" s="306"/>
      <c r="H785" s="522">
        <f>H786+H789+H792</f>
        <v>25567.200000000001</v>
      </c>
      <c r="I785" s="522"/>
      <c r="J785" s="522">
        <f>J786+J789+J792</f>
        <v>25567.200000000001</v>
      </c>
      <c r="K785" s="522"/>
      <c r="L785" s="154"/>
      <c r="N785" s="154"/>
      <c r="O785" s="154"/>
    </row>
    <row r="786" spans="1:15" s="138" customFormat="1" ht="31.5" x14ac:dyDescent="0.25">
      <c r="A786" s="375" t="s">
        <v>206</v>
      </c>
      <c r="B786" s="191" t="s">
        <v>8</v>
      </c>
      <c r="C786" s="4" t="s">
        <v>22</v>
      </c>
      <c r="D786" s="156" t="s">
        <v>485</v>
      </c>
      <c r="E786" s="326"/>
      <c r="F786" s="159">
        <f>F787</f>
        <v>1495.2</v>
      </c>
      <c r="G786" s="522"/>
      <c r="H786" s="522">
        <f t="shared" ref="H786:J786" si="229">H787</f>
        <v>1485.2</v>
      </c>
      <c r="I786" s="522"/>
      <c r="J786" s="522">
        <f t="shared" si="229"/>
        <v>1485.2</v>
      </c>
      <c r="K786" s="522"/>
      <c r="L786" s="154"/>
      <c r="N786" s="154"/>
      <c r="O786" s="154"/>
    </row>
    <row r="787" spans="1:15" s="138" customFormat="1" x14ac:dyDescent="0.25">
      <c r="A787" s="375" t="s">
        <v>120</v>
      </c>
      <c r="B787" s="191" t="s">
        <v>8</v>
      </c>
      <c r="C787" s="4" t="s">
        <v>22</v>
      </c>
      <c r="D787" s="156" t="s">
        <v>485</v>
      </c>
      <c r="E787" s="326">
        <v>200</v>
      </c>
      <c r="F787" s="159">
        <f>F788</f>
        <v>1495.2</v>
      </c>
      <c r="G787" s="306"/>
      <c r="H787" s="522">
        <f>H788</f>
        <v>1485.2</v>
      </c>
      <c r="I787" s="522"/>
      <c r="J787" s="522">
        <f>J788</f>
        <v>1485.2</v>
      </c>
      <c r="K787" s="522"/>
      <c r="L787" s="154"/>
      <c r="N787" s="154"/>
      <c r="O787" s="154"/>
    </row>
    <row r="788" spans="1:15" s="138" customFormat="1" ht="20.25" customHeight="1" x14ac:dyDescent="0.25">
      <c r="A788" s="375" t="s">
        <v>52</v>
      </c>
      <c r="B788" s="191" t="s">
        <v>8</v>
      </c>
      <c r="C788" s="4" t="s">
        <v>22</v>
      </c>
      <c r="D788" s="156" t="s">
        <v>485</v>
      </c>
      <c r="E788" s="326">
        <v>240</v>
      </c>
      <c r="F788" s="159">
        <f>'ведом. 2025-2027'!AD807</f>
        <v>1495.2</v>
      </c>
      <c r="G788" s="306"/>
      <c r="H788" s="522">
        <f>'ведом. 2025-2027'!AE807</f>
        <v>1485.2</v>
      </c>
      <c r="I788" s="522"/>
      <c r="J788" s="522">
        <f>'ведом. 2025-2027'!AF807</f>
        <v>1485.2</v>
      </c>
      <c r="K788" s="522"/>
      <c r="L788" s="154"/>
      <c r="N788" s="154"/>
      <c r="O788" s="154"/>
    </row>
    <row r="789" spans="1:15" s="138" customFormat="1" ht="31.5" x14ac:dyDescent="0.25">
      <c r="A789" s="273" t="s">
        <v>349</v>
      </c>
      <c r="B789" s="191" t="s">
        <v>8</v>
      </c>
      <c r="C789" s="4" t="s">
        <v>22</v>
      </c>
      <c r="D789" s="156" t="s">
        <v>486</v>
      </c>
      <c r="E789" s="326"/>
      <c r="F789" s="159">
        <f>F790</f>
        <v>11514.6</v>
      </c>
      <c r="G789" s="306"/>
      <c r="H789" s="522">
        <f>H790</f>
        <v>10616.6</v>
      </c>
      <c r="I789" s="522"/>
      <c r="J789" s="522">
        <f>J790</f>
        <v>10616.6</v>
      </c>
      <c r="K789" s="522"/>
      <c r="L789" s="154"/>
      <c r="N789" s="154"/>
      <c r="O789" s="154"/>
    </row>
    <row r="790" spans="1:15" s="138" customFormat="1" ht="47.25" x14ac:dyDescent="0.25">
      <c r="A790" s="375" t="s">
        <v>41</v>
      </c>
      <c r="B790" s="191" t="s">
        <v>8</v>
      </c>
      <c r="C790" s="4" t="s">
        <v>22</v>
      </c>
      <c r="D790" s="156" t="s">
        <v>486</v>
      </c>
      <c r="E790" s="326">
        <v>100</v>
      </c>
      <c r="F790" s="159">
        <f>F791</f>
        <v>11514.6</v>
      </c>
      <c r="G790" s="306"/>
      <c r="H790" s="522">
        <f>H791</f>
        <v>10616.6</v>
      </c>
      <c r="I790" s="522"/>
      <c r="J790" s="522">
        <f>J791</f>
        <v>10616.6</v>
      </c>
      <c r="K790" s="522"/>
      <c r="L790" s="154"/>
      <c r="N790" s="154"/>
      <c r="O790" s="154"/>
    </row>
    <row r="791" spans="1:15" s="138" customFormat="1" x14ac:dyDescent="0.25">
      <c r="A791" s="375" t="s">
        <v>96</v>
      </c>
      <c r="B791" s="191" t="s">
        <v>8</v>
      </c>
      <c r="C791" s="4" t="s">
        <v>22</v>
      </c>
      <c r="D791" s="156" t="s">
        <v>486</v>
      </c>
      <c r="E791" s="326">
        <v>120</v>
      </c>
      <c r="F791" s="159">
        <f>'ведом. 2025-2027'!AD810</f>
        <v>11514.6</v>
      </c>
      <c r="G791" s="306"/>
      <c r="H791" s="522">
        <f>'ведом. 2025-2027'!AE810</f>
        <v>10616.6</v>
      </c>
      <c r="I791" s="522"/>
      <c r="J791" s="522">
        <f>'ведом. 2025-2027'!AF810</f>
        <v>10616.6</v>
      </c>
      <c r="K791" s="522"/>
      <c r="L791" s="154"/>
      <c r="N791" s="154"/>
      <c r="O791" s="154"/>
    </row>
    <row r="792" spans="1:15" s="138" customFormat="1" ht="31.5" x14ac:dyDescent="0.25">
      <c r="A792" s="375" t="s">
        <v>270</v>
      </c>
      <c r="B792" s="191" t="s">
        <v>8</v>
      </c>
      <c r="C792" s="4" t="s">
        <v>22</v>
      </c>
      <c r="D792" s="156" t="s">
        <v>487</v>
      </c>
      <c r="E792" s="326"/>
      <c r="F792" s="167">
        <f>F793</f>
        <v>13465.4</v>
      </c>
      <c r="G792" s="306"/>
      <c r="H792" s="167">
        <f>H793</f>
        <v>13465.4</v>
      </c>
      <c r="I792" s="522"/>
      <c r="J792" s="167">
        <f>J793</f>
        <v>13465.4</v>
      </c>
      <c r="K792" s="522"/>
      <c r="L792" s="154"/>
      <c r="N792" s="154"/>
      <c r="O792" s="154"/>
    </row>
    <row r="793" spans="1:15" s="138" customFormat="1" ht="47.25" x14ac:dyDescent="0.25">
      <c r="A793" s="375" t="s">
        <v>41</v>
      </c>
      <c r="B793" s="191" t="s">
        <v>8</v>
      </c>
      <c r="C793" s="4" t="s">
        <v>22</v>
      </c>
      <c r="D793" s="156" t="s">
        <v>487</v>
      </c>
      <c r="E793" s="326">
        <v>100</v>
      </c>
      <c r="F793" s="159">
        <f>F794</f>
        <v>13465.4</v>
      </c>
      <c r="G793" s="306"/>
      <c r="H793" s="522">
        <f>H794</f>
        <v>13465.4</v>
      </c>
      <c r="I793" s="522"/>
      <c r="J793" s="522">
        <f>J794</f>
        <v>13465.4</v>
      </c>
      <c r="K793" s="522"/>
      <c r="L793" s="154"/>
      <c r="N793" s="154"/>
      <c r="O793" s="154"/>
    </row>
    <row r="794" spans="1:15" s="138" customFormat="1" x14ac:dyDescent="0.25">
      <c r="A794" s="375" t="s">
        <v>96</v>
      </c>
      <c r="B794" s="191" t="s">
        <v>8</v>
      </c>
      <c r="C794" s="4" t="s">
        <v>22</v>
      </c>
      <c r="D794" s="156" t="s">
        <v>487</v>
      </c>
      <c r="E794" s="326">
        <v>120</v>
      </c>
      <c r="F794" s="159">
        <f>'ведом. 2025-2027'!AD813</f>
        <v>13465.4</v>
      </c>
      <c r="G794" s="306"/>
      <c r="H794" s="522">
        <f>'ведом. 2025-2027'!AE813</f>
        <v>13465.4</v>
      </c>
      <c r="I794" s="522"/>
      <c r="J794" s="522">
        <f>'ведом. 2025-2027'!AF813</f>
        <v>13465.4</v>
      </c>
      <c r="K794" s="522"/>
      <c r="L794" s="154"/>
      <c r="N794" s="154"/>
      <c r="O794" s="154"/>
    </row>
    <row r="795" spans="1:15" s="138" customFormat="1" x14ac:dyDescent="0.25">
      <c r="A795" s="375" t="s">
        <v>271</v>
      </c>
      <c r="B795" s="191" t="s">
        <v>8</v>
      </c>
      <c r="C795" s="4" t="s">
        <v>22</v>
      </c>
      <c r="D795" s="156" t="s">
        <v>488</v>
      </c>
      <c r="E795" s="326"/>
      <c r="F795" s="159">
        <f>F796+F798</f>
        <v>87.9</v>
      </c>
      <c r="G795" s="522"/>
      <c r="H795" s="522">
        <f t="shared" ref="H795:J795" si="230">H796+H798</f>
        <v>187.9</v>
      </c>
      <c r="I795" s="522"/>
      <c r="J795" s="522">
        <f t="shared" si="230"/>
        <v>187.9</v>
      </c>
      <c r="K795" s="522"/>
      <c r="L795" s="154"/>
      <c r="N795" s="154"/>
      <c r="O795" s="154"/>
    </row>
    <row r="796" spans="1:15" s="138" customFormat="1" x14ac:dyDescent="0.25">
      <c r="A796" s="375" t="s">
        <v>120</v>
      </c>
      <c r="B796" s="191" t="s">
        <v>8</v>
      </c>
      <c r="C796" s="4" t="s">
        <v>22</v>
      </c>
      <c r="D796" s="156" t="s">
        <v>488</v>
      </c>
      <c r="E796" s="326">
        <v>200</v>
      </c>
      <c r="F796" s="159">
        <f>F797</f>
        <v>0</v>
      </c>
      <c r="G796" s="306"/>
      <c r="H796" s="522">
        <f>H797</f>
        <v>187.9</v>
      </c>
      <c r="I796" s="522"/>
      <c r="J796" s="522">
        <f>J797</f>
        <v>187.9</v>
      </c>
      <c r="K796" s="522"/>
      <c r="L796" s="154"/>
      <c r="N796" s="154"/>
      <c r="O796" s="154"/>
    </row>
    <row r="797" spans="1:15" s="138" customFormat="1" ht="31.5" x14ac:dyDescent="0.25">
      <c r="A797" s="375" t="s">
        <v>52</v>
      </c>
      <c r="B797" s="191" t="s">
        <v>8</v>
      </c>
      <c r="C797" s="4" t="s">
        <v>22</v>
      </c>
      <c r="D797" s="156" t="s">
        <v>488</v>
      </c>
      <c r="E797" s="326">
        <v>240</v>
      </c>
      <c r="F797" s="159">
        <f>'ведом. 2025-2027'!AD816</f>
        <v>0</v>
      </c>
      <c r="G797" s="306"/>
      <c r="H797" s="522">
        <f>'ведом. 2025-2027'!AE816</f>
        <v>187.9</v>
      </c>
      <c r="I797" s="522"/>
      <c r="J797" s="522">
        <f>'ведом. 2025-2027'!AF816</f>
        <v>187.9</v>
      </c>
      <c r="K797" s="522"/>
      <c r="L797" s="154"/>
      <c r="N797" s="154"/>
      <c r="O797" s="154"/>
    </row>
    <row r="798" spans="1:15" s="519" customFormat="1" x14ac:dyDescent="0.25">
      <c r="A798" s="451" t="s">
        <v>97</v>
      </c>
      <c r="B798" s="191" t="s">
        <v>8</v>
      </c>
      <c r="C798" s="516" t="s">
        <v>22</v>
      </c>
      <c r="D798" s="156" t="s">
        <v>488</v>
      </c>
      <c r="E798" s="326">
        <v>300</v>
      </c>
      <c r="F798" s="522">
        <f>F799</f>
        <v>87.9</v>
      </c>
      <c r="G798" s="522"/>
      <c r="H798" s="522">
        <f t="shared" ref="H798:J798" si="231">H799</f>
        <v>0</v>
      </c>
      <c r="I798" s="522"/>
      <c r="J798" s="522">
        <f t="shared" si="231"/>
        <v>0</v>
      </c>
      <c r="K798" s="522"/>
      <c r="L798" s="521"/>
      <c r="N798" s="521"/>
      <c r="O798" s="521"/>
    </row>
    <row r="799" spans="1:15" s="519" customFormat="1" x14ac:dyDescent="0.25">
      <c r="A799" s="451" t="s">
        <v>890</v>
      </c>
      <c r="B799" s="191" t="s">
        <v>8</v>
      </c>
      <c r="C799" s="516" t="s">
        <v>22</v>
      </c>
      <c r="D799" s="156" t="s">
        <v>488</v>
      </c>
      <c r="E799" s="326">
        <v>340</v>
      </c>
      <c r="F799" s="522">
        <f>'ведом. 2025-2027'!AD818</f>
        <v>87.9</v>
      </c>
      <c r="G799" s="524"/>
      <c r="H799" s="522">
        <f>'ведом. 2025-2027'!AE818</f>
        <v>0</v>
      </c>
      <c r="I799" s="522"/>
      <c r="J799" s="522">
        <f>'ведом. 2025-2027'!AF818</f>
        <v>0</v>
      </c>
      <c r="K799" s="522"/>
      <c r="L799" s="521"/>
      <c r="N799" s="521"/>
      <c r="O799" s="521"/>
    </row>
    <row r="800" spans="1:15" s="138" customFormat="1" x14ac:dyDescent="0.25">
      <c r="A800" s="255" t="s">
        <v>292</v>
      </c>
      <c r="B800" s="191" t="s">
        <v>8</v>
      </c>
      <c r="C800" s="4" t="s">
        <v>22</v>
      </c>
      <c r="D800" s="156" t="s">
        <v>109</v>
      </c>
      <c r="E800" s="326"/>
      <c r="F800" s="159">
        <f t="shared" ref="F800:K801" si="232">F801</f>
        <v>7553.6</v>
      </c>
      <c r="G800" s="306">
        <f t="shared" si="232"/>
        <v>4061</v>
      </c>
      <c r="H800" s="522">
        <f t="shared" si="232"/>
        <v>7254</v>
      </c>
      <c r="I800" s="522">
        <f t="shared" si="232"/>
        <v>4229</v>
      </c>
      <c r="J800" s="522">
        <f t="shared" si="232"/>
        <v>7311</v>
      </c>
      <c r="K800" s="522">
        <f t="shared" si="232"/>
        <v>4262</v>
      </c>
      <c r="L800" s="154"/>
      <c r="N800" s="154"/>
      <c r="O800" s="154"/>
    </row>
    <row r="801" spans="1:15" s="138" customFormat="1" x14ac:dyDescent="0.25">
      <c r="A801" s="255" t="s">
        <v>296</v>
      </c>
      <c r="B801" s="191" t="s">
        <v>8</v>
      </c>
      <c r="C801" s="4" t="s">
        <v>22</v>
      </c>
      <c r="D801" s="156" t="s">
        <v>110</v>
      </c>
      <c r="E801" s="326"/>
      <c r="F801" s="159">
        <f t="shared" si="232"/>
        <v>7553.6</v>
      </c>
      <c r="G801" s="306">
        <f t="shared" si="232"/>
        <v>4061</v>
      </c>
      <c r="H801" s="522">
        <f t="shared" si="232"/>
        <v>7254</v>
      </c>
      <c r="I801" s="522">
        <f t="shared" si="232"/>
        <v>4229</v>
      </c>
      <c r="J801" s="522">
        <f t="shared" si="232"/>
        <v>7311</v>
      </c>
      <c r="K801" s="522">
        <f t="shared" si="232"/>
        <v>4262</v>
      </c>
      <c r="L801" s="154"/>
      <c r="N801" s="154"/>
      <c r="O801" s="154"/>
    </row>
    <row r="802" spans="1:15" s="138" customFormat="1" x14ac:dyDescent="0.25">
      <c r="A802" s="278" t="s">
        <v>513</v>
      </c>
      <c r="B802" s="191" t="s">
        <v>8</v>
      </c>
      <c r="C802" s="4" t="s">
        <v>22</v>
      </c>
      <c r="D802" s="156" t="s">
        <v>502</v>
      </c>
      <c r="E802" s="326"/>
      <c r="F802" s="159">
        <f>F808+F803</f>
        <v>7553.6</v>
      </c>
      <c r="G802" s="522">
        <f t="shared" ref="G802:K802" si="233">G808+G803</f>
        <v>4061</v>
      </c>
      <c r="H802" s="522">
        <f t="shared" si="233"/>
        <v>7254</v>
      </c>
      <c r="I802" s="522">
        <f t="shared" si="233"/>
        <v>4229</v>
      </c>
      <c r="J802" s="522">
        <f t="shared" si="233"/>
        <v>7311</v>
      </c>
      <c r="K802" s="522">
        <f t="shared" si="233"/>
        <v>4262</v>
      </c>
      <c r="L802" s="154"/>
      <c r="N802" s="154"/>
      <c r="O802" s="154"/>
    </row>
    <row r="803" spans="1:15" s="519" customFormat="1" ht="47.25" x14ac:dyDescent="0.25">
      <c r="A803" s="661" t="s">
        <v>847</v>
      </c>
      <c r="B803" s="453" t="s">
        <v>8</v>
      </c>
      <c r="C803" s="453" t="s">
        <v>22</v>
      </c>
      <c r="D803" s="542" t="s">
        <v>848</v>
      </c>
      <c r="E803" s="454"/>
      <c r="F803" s="522">
        <f>F806+F804</f>
        <v>587.6</v>
      </c>
      <c r="G803" s="522"/>
      <c r="H803" s="522">
        <f t="shared" ref="H803:J803" si="234">H806+H804</f>
        <v>0</v>
      </c>
      <c r="I803" s="522"/>
      <c r="J803" s="522">
        <f t="shared" si="234"/>
        <v>0</v>
      </c>
      <c r="K803" s="522"/>
      <c r="L803" s="521"/>
      <c r="N803" s="521"/>
      <c r="O803" s="521"/>
    </row>
    <row r="804" spans="1:15" s="519" customFormat="1" x14ac:dyDescent="0.25">
      <c r="A804" s="451" t="s">
        <v>97</v>
      </c>
      <c r="B804" s="453" t="s">
        <v>8</v>
      </c>
      <c r="C804" s="453" t="s">
        <v>22</v>
      </c>
      <c r="D804" s="542" t="s">
        <v>848</v>
      </c>
      <c r="E804" s="454">
        <v>300</v>
      </c>
      <c r="F804" s="522">
        <f>F805</f>
        <v>260</v>
      </c>
      <c r="G804" s="522"/>
      <c r="H804" s="522">
        <f t="shared" ref="H804" si="235">H805</f>
        <v>0</v>
      </c>
      <c r="I804" s="522"/>
      <c r="J804" s="522">
        <f t="shared" ref="J804" si="236">J805</f>
        <v>0</v>
      </c>
      <c r="K804" s="522"/>
      <c r="L804" s="521"/>
      <c r="N804" s="521"/>
      <c r="O804" s="521"/>
    </row>
    <row r="805" spans="1:15" s="519" customFormat="1" x14ac:dyDescent="0.25">
      <c r="A805" s="451" t="s">
        <v>40</v>
      </c>
      <c r="B805" s="453" t="s">
        <v>8</v>
      </c>
      <c r="C805" s="453" t="s">
        <v>22</v>
      </c>
      <c r="D805" s="542" t="s">
        <v>848</v>
      </c>
      <c r="E805" s="454">
        <v>320</v>
      </c>
      <c r="F805" s="522">
        <f>'ведом. 2025-2027'!AD405</f>
        <v>260</v>
      </c>
      <c r="G805" s="522"/>
      <c r="H805" s="522">
        <f>'ведом. 2025-2027'!AE405</f>
        <v>0</v>
      </c>
      <c r="I805" s="522"/>
      <c r="J805" s="522">
        <f>'ведом. 2025-2027'!AF405</f>
        <v>0</v>
      </c>
      <c r="K805" s="522"/>
      <c r="L805" s="521"/>
      <c r="N805" s="521"/>
      <c r="O805" s="521"/>
    </row>
    <row r="806" spans="1:15" s="519" customFormat="1" ht="31.5" x14ac:dyDescent="0.25">
      <c r="A806" s="451" t="s">
        <v>60</v>
      </c>
      <c r="B806" s="453" t="s">
        <v>8</v>
      </c>
      <c r="C806" s="453" t="s">
        <v>22</v>
      </c>
      <c r="D806" s="542" t="s">
        <v>848</v>
      </c>
      <c r="E806" s="454">
        <v>600</v>
      </c>
      <c r="F806" s="522">
        <f>F807</f>
        <v>327.60000000000002</v>
      </c>
      <c r="G806" s="522"/>
      <c r="H806" s="522">
        <f t="shared" ref="H806" si="237">H807</f>
        <v>0</v>
      </c>
      <c r="I806" s="522"/>
      <c r="J806" s="522">
        <f t="shared" ref="J806" si="238">J807</f>
        <v>0</v>
      </c>
      <c r="K806" s="522"/>
      <c r="L806" s="521"/>
      <c r="N806" s="521"/>
      <c r="O806" s="521"/>
    </row>
    <row r="807" spans="1:15" s="519" customFormat="1" x14ac:dyDescent="0.25">
      <c r="A807" s="451" t="s">
        <v>61</v>
      </c>
      <c r="B807" s="453" t="s">
        <v>8</v>
      </c>
      <c r="C807" s="453" t="s">
        <v>22</v>
      </c>
      <c r="D807" s="542" t="s">
        <v>848</v>
      </c>
      <c r="E807" s="454">
        <v>610</v>
      </c>
      <c r="F807" s="522">
        <f>'ведом. 2025-2027'!AD824</f>
        <v>327.60000000000002</v>
      </c>
      <c r="G807" s="524"/>
      <c r="H807" s="522">
        <f>'ведом. 2025-2027'!AE824</f>
        <v>0</v>
      </c>
      <c r="I807" s="522"/>
      <c r="J807" s="522">
        <f>'ведом. 2025-2027'!AF824</f>
        <v>0</v>
      </c>
      <c r="K807" s="522"/>
      <c r="L807" s="521"/>
      <c r="N807" s="521"/>
      <c r="O807" s="521"/>
    </row>
    <row r="808" spans="1:15" s="138" customFormat="1" x14ac:dyDescent="0.25">
      <c r="A808" s="278" t="s">
        <v>297</v>
      </c>
      <c r="B808" s="191" t="s">
        <v>8</v>
      </c>
      <c r="C808" s="4" t="s">
        <v>22</v>
      </c>
      <c r="D808" s="156" t="s">
        <v>504</v>
      </c>
      <c r="E808" s="326"/>
      <c r="F808" s="159">
        <f t="shared" ref="F808:K808" si="239">F809+F816</f>
        <v>6966</v>
      </c>
      <c r="G808" s="306">
        <f t="shared" si="239"/>
        <v>4061</v>
      </c>
      <c r="H808" s="522">
        <f t="shared" si="239"/>
        <v>7254</v>
      </c>
      <c r="I808" s="522">
        <f t="shared" si="239"/>
        <v>4229</v>
      </c>
      <c r="J808" s="522">
        <f t="shared" si="239"/>
        <v>7311</v>
      </c>
      <c r="K808" s="522">
        <f t="shared" si="239"/>
        <v>4262</v>
      </c>
      <c r="L808" s="154"/>
      <c r="M808" s="521"/>
      <c r="N808" s="154"/>
      <c r="O808" s="154"/>
    </row>
    <row r="809" spans="1:15" s="138" customFormat="1" ht="47.25" x14ac:dyDescent="0.25">
      <c r="A809" s="278" t="s">
        <v>317</v>
      </c>
      <c r="B809" s="191" t="s">
        <v>8</v>
      </c>
      <c r="C809" s="4" t="s">
        <v>22</v>
      </c>
      <c r="D809" s="156" t="s">
        <v>505</v>
      </c>
      <c r="E809" s="326"/>
      <c r="F809" s="159">
        <f>F810+F814+F812</f>
        <v>5343.5999999999995</v>
      </c>
      <c r="G809" s="522">
        <f t="shared" ref="G809:K809" si="240">G810+G814+G812</f>
        <v>3115.2</v>
      </c>
      <c r="H809" s="522">
        <f t="shared" si="240"/>
        <v>5184</v>
      </c>
      <c r="I809" s="522">
        <f t="shared" si="240"/>
        <v>3379</v>
      </c>
      <c r="J809" s="522">
        <f t="shared" si="240"/>
        <v>5231</v>
      </c>
      <c r="K809" s="522">
        <f t="shared" si="240"/>
        <v>3412</v>
      </c>
      <c r="L809" s="154"/>
      <c r="N809" s="154"/>
      <c r="O809" s="154"/>
    </row>
    <row r="810" spans="1:15" s="177" customFormat="1" x14ac:dyDescent="0.25">
      <c r="A810" s="375" t="s">
        <v>120</v>
      </c>
      <c r="B810" s="191" t="s">
        <v>8</v>
      </c>
      <c r="C810" s="4" t="s">
        <v>22</v>
      </c>
      <c r="D810" s="156" t="s">
        <v>505</v>
      </c>
      <c r="E810" s="326">
        <v>200</v>
      </c>
      <c r="F810" s="159">
        <f t="shared" ref="F810:K810" si="241">F811</f>
        <v>2500</v>
      </c>
      <c r="G810" s="306">
        <f t="shared" si="241"/>
        <v>1457.3999999999999</v>
      </c>
      <c r="H810" s="522">
        <f t="shared" si="241"/>
        <v>2820</v>
      </c>
      <c r="I810" s="522">
        <f t="shared" si="241"/>
        <v>2650</v>
      </c>
      <c r="J810" s="522">
        <f t="shared" si="241"/>
        <v>2840</v>
      </c>
      <c r="K810" s="522">
        <f t="shared" si="241"/>
        <v>2670</v>
      </c>
      <c r="L810" s="154"/>
      <c r="N810" s="154"/>
      <c r="O810" s="154"/>
    </row>
    <row r="811" spans="1:15" s="177" customFormat="1" ht="31.5" x14ac:dyDescent="0.25">
      <c r="A811" s="375" t="s">
        <v>52</v>
      </c>
      <c r="B811" s="191" t="s">
        <v>8</v>
      </c>
      <c r="C811" s="4" t="s">
        <v>22</v>
      </c>
      <c r="D811" s="156" t="s">
        <v>505</v>
      </c>
      <c r="E811" s="326">
        <v>240</v>
      </c>
      <c r="F811" s="159">
        <f>'ведом. 2025-2027'!AD409</f>
        <v>2500</v>
      </c>
      <c r="G811" s="524">
        <f>2640-90-824.4-268.2</f>
        <v>1457.3999999999999</v>
      </c>
      <c r="H811" s="522">
        <f>'ведом. 2025-2027'!AE409</f>
        <v>2820</v>
      </c>
      <c r="I811" s="522">
        <v>2650</v>
      </c>
      <c r="J811" s="522">
        <f>'ведом. 2025-2027'!AF409</f>
        <v>2840</v>
      </c>
      <c r="K811" s="522">
        <v>2670</v>
      </c>
      <c r="L811" s="154"/>
      <c r="N811" s="154"/>
      <c r="O811" s="154"/>
    </row>
    <row r="812" spans="1:15" s="519" customFormat="1" x14ac:dyDescent="0.25">
      <c r="A812" s="451" t="s">
        <v>97</v>
      </c>
      <c r="B812" s="453" t="s">
        <v>8</v>
      </c>
      <c r="C812" s="453" t="s">
        <v>22</v>
      </c>
      <c r="D812" s="542" t="s">
        <v>505</v>
      </c>
      <c r="E812" s="454">
        <v>300</v>
      </c>
      <c r="F812" s="522">
        <f>F813</f>
        <v>0</v>
      </c>
      <c r="G812" s="522"/>
      <c r="H812" s="522">
        <f t="shared" ref="H812:J812" si="242">H813</f>
        <v>220</v>
      </c>
      <c r="I812" s="522">
        <f t="shared" si="242"/>
        <v>0</v>
      </c>
      <c r="J812" s="522">
        <f t="shared" si="242"/>
        <v>220</v>
      </c>
      <c r="K812" s="522"/>
      <c r="L812" s="521"/>
      <c r="N812" s="521"/>
      <c r="O812" s="521"/>
    </row>
    <row r="813" spans="1:15" s="519" customFormat="1" x14ac:dyDescent="0.25">
      <c r="A813" s="451" t="s">
        <v>40</v>
      </c>
      <c r="B813" s="453" t="s">
        <v>8</v>
      </c>
      <c r="C813" s="453" t="s">
        <v>22</v>
      </c>
      <c r="D813" s="542" t="s">
        <v>505</v>
      </c>
      <c r="E813" s="454">
        <v>320</v>
      </c>
      <c r="F813" s="522">
        <f>'ведом. 2025-2027'!AD411</f>
        <v>0</v>
      </c>
      <c r="G813" s="524"/>
      <c r="H813" s="522">
        <f>'ведом. 2025-2027'!AE411</f>
        <v>220</v>
      </c>
      <c r="I813" s="522"/>
      <c r="J813" s="522">
        <f>'ведом. 2025-2027'!AF411</f>
        <v>220</v>
      </c>
      <c r="K813" s="522"/>
      <c r="L813" s="521"/>
      <c r="N813" s="521"/>
      <c r="O813" s="521"/>
    </row>
    <row r="814" spans="1:15" s="177" customFormat="1" ht="31.5" x14ac:dyDescent="0.25">
      <c r="A814" s="375" t="s">
        <v>60</v>
      </c>
      <c r="B814" s="191" t="s">
        <v>8</v>
      </c>
      <c r="C814" s="4" t="s">
        <v>22</v>
      </c>
      <c r="D814" s="156" t="s">
        <v>505</v>
      </c>
      <c r="E814" s="326">
        <v>600</v>
      </c>
      <c r="F814" s="159">
        <f t="shared" ref="F814:K814" si="243">F815</f>
        <v>2843.5999999999995</v>
      </c>
      <c r="G814" s="306">
        <f t="shared" si="243"/>
        <v>1657.8</v>
      </c>
      <c r="H814" s="522">
        <f t="shared" si="243"/>
        <v>2144</v>
      </c>
      <c r="I814" s="522">
        <f t="shared" si="243"/>
        <v>729</v>
      </c>
      <c r="J814" s="522">
        <f t="shared" si="243"/>
        <v>2171</v>
      </c>
      <c r="K814" s="522">
        <f t="shared" si="243"/>
        <v>742</v>
      </c>
      <c r="L814" s="154"/>
      <c r="N814" s="154"/>
      <c r="O814" s="154"/>
    </row>
    <row r="815" spans="1:15" s="177" customFormat="1" x14ac:dyDescent="0.25">
      <c r="A815" s="375" t="s">
        <v>61</v>
      </c>
      <c r="B815" s="191" t="s">
        <v>8</v>
      </c>
      <c r="C815" s="4" t="s">
        <v>22</v>
      </c>
      <c r="D815" s="156" t="s">
        <v>505</v>
      </c>
      <c r="E815" s="326">
        <v>610</v>
      </c>
      <c r="F815" s="159">
        <f>'ведом. 2025-2027'!AD828</f>
        <v>2843.5999999999995</v>
      </c>
      <c r="G815" s="522">
        <f>1198.6+0.6+268.2+190.4</f>
        <v>1657.8</v>
      </c>
      <c r="H815" s="522">
        <f>'ведом. 2025-2027'!AE828</f>
        <v>2144</v>
      </c>
      <c r="I815" s="522">
        <v>729</v>
      </c>
      <c r="J815" s="522">
        <f>'ведом. 2025-2027'!AF828</f>
        <v>2171</v>
      </c>
      <c r="K815" s="522">
        <v>742</v>
      </c>
      <c r="L815" s="154"/>
      <c r="N815" s="154"/>
      <c r="O815" s="154"/>
    </row>
    <row r="816" spans="1:15" s="138" customFormat="1" ht="31.5" x14ac:dyDescent="0.25">
      <c r="A816" s="375" t="s">
        <v>318</v>
      </c>
      <c r="B816" s="191" t="s">
        <v>8</v>
      </c>
      <c r="C816" s="4" t="s">
        <v>22</v>
      </c>
      <c r="D816" s="156" t="s">
        <v>506</v>
      </c>
      <c r="E816" s="326"/>
      <c r="F816" s="159">
        <f t="shared" ref="F816:K817" si="244">F817</f>
        <v>1622.4</v>
      </c>
      <c r="G816" s="306">
        <f t="shared" si="244"/>
        <v>945.80000000000007</v>
      </c>
      <c r="H816" s="522">
        <f t="shared" si="244"/>
        <v>2070</v>
      </c>
      <c r="I816" s="522">
        <f t="shared" si="244"/>
        <v>850</v>
      </c>
      <c r="J816" s="522">
        <f t="shared" si="244"/>
        <v>2080</v>
      </c>
      <c r="K816" s="522">
        <f t="shared" si="244"/>
        <v>850</v>
      </c>
      <c r="L816" s="154"/>
      <c r="N816" s="154"/>
      <c r="O816" s="154"/>
    </row>
    <row r="817" spans="1:15" s="138" customFormat="1" ht="31.5" x14ac:dyDescent="0.25">
      <c r="A817" s="375" t="s">
        <v>60</v>
      </c>
      <c r="B817" s="191" t="s">
        <v>8</v>
      </c>
      <c r="C817" s="4" t="s">
        <v>22</v>
      </c>
      <c r="D817" s="156" t="s">
        <v>506</v>
      </c>
      <c r="E817" s="325">
        <v>600</v>
      </c>
      <c r="F817" s="159">
        <f t="shared" si="244"/>
        <v>1622.4</v>
      </c>
      <c r="G817" s="306">
        <f t="shared" si="244"/>
        <v>945.80000000000007</v>
      </c>
      <c r="H817" s="522">
        <f t="shared" si="244"/>
        <v>2070</v>
      </c>
      <c r="I817" s="522">
        <f t="shared" si="244"/>
        <v>850</v>
      </c>
      <c r="J817" s="522">
        <f t="shared" si="244"/>
        <v>2080</v>
      </c>
      <c r="K817" s="522">
        <f t="shared" si="244"/>
        <v>850</v>
      </c>
      <c r="L817" s="154"/>
      <c r="N817" s="154"/>
      <c r="O817" s="154"/>
    </row>
    <row r="818" spans="1:15" s="138" customFormat="1" x14ac:dyDescent="0.25">
      <c r="A818" s="375" t="s">
        <v>61</v>
      </c>
      <c r="B818" s="191" t="s">
        <v>8</v>
      </c>
      <c r="C818" s="4" t="s">
        <v>22</v>
      </c>
      <c r="D818" s="156" t="s">
        <v>506</v>
      </c>
      <c r="E818" s="325">
        <v>610</v>
      </c>
      <c r="F818" s="159">
        <f>'ведом. 2025-2027'!AD831</f>
        <v>1622.4</v>
      </c>
      <c r="G818" s="306">
        <f>800+336.8-0.6-190.4</f>
        <v>945.80000000000007</v>
      </c>
      <c r="H818" s="522">
        <f>'ведом. 2025-2027'!AE831</f>
        <v>2070</v>
      </c>
      <c r="I818" s="522">
        <v>850</v>
      </c>
      <c r="J818" s="522">
        <f>'ведом. 2025-2027'!AF831</f>
        <v>2080</v>
      </c>
      <c r="K818" s="522">
        <v>850</v>
      </c>
      <c r="L818" s="154"/>
      <c r="N818" s="154"/>
      <c r="O818" s="154"/>
    </row>
    <row r="819" spans="1:15" s="177" customFormat="1" x14ac:dyDescent="0.25">
      <c r="A819" s="255" t="s">
        <v>233</v>
      </c>
      <c r="B819" s="191" t="s">
        <v>8</v>
      </c>
      <c r="C819" s="4" t="s">
        <v>22</v>
      </c>
      <c r="D819" s="156" t="s">
        <v>234</v>
      </c>
      <c r="E819" s="326"/>
      <c r="F819" s="159">
        <f>F820</f>
        <v>947</v>
      </c>
      <c r="G819" s="159"/>
      <c r="H819" s="522">
        <f>H820</f>
        <v>0</v>
      </c>
      <c r="I819" s="522"/>
      <c r="J819" s="522">
        <f>J820</f>
        <v>0</v>
      </c>
      <c r="K819" s="522"/>
      <c r="L819" s="154"/>
      <c r="N819" s="154"/>
      <c r="O819" s="154"/>
    </row>
    <row r="820" spans="1:15" s="177" customFormat="1" ht="31.5" x14ac:dyDescent="0.25">
      <c r="A820" s="457" t="s">
        <v>703</v>
      </c>
      <c r="B820" s="453" t="s">
        <v>8</v>
      </c>
      <c r="C820" s="454" t="s">
        <v>22</v>
      </c>
      <c r="D820" s="458" t="s">
        <v>237</v>
      </c>
      <c r="E820" s="485"/>
      <c r="F820" s="159">
        <f t="shared" ref="F820:J821" si="245">F821</f>
        <v>947</v>
      </c>
      <c r="G820" s="306"/>
      <c r="H820" s="522">
        <f t="shared" si="245"/>
        <v>0</v>
      </c>
      <c r="I820" s="522"/>
      <c r="J820" s="522">
        <f t="shared" si="245"/>
        <v>0</v>
      </c>
      <c r="K820" s="522"/>
      <c r="L820" s="154"/>
      <c r="N820" s="154"/>
      <c r="O820" s="154"/>
    </row>
    <row r="821" spans="1:15" s="177" customFormat="1" x14ac:dyDescent="0.25">
      <c r="A821" s="451" t="s">
        <v>702</v>
      </c>
      <c r="B821" s="453" t="s">
        <v>8</v>
      </c>
      <c r="C821" s="454" t="s">
        <v>22</v>
      </c>
      <c r="D821" s="458" t="s">
        <v>701</v>
      </c>
      <c r="E821" s="456"/>
      <c r="F821" s="159">
        <f>F822</f>
        <v>947</v>
      </c>
      <c r="G821" s="159"/>
      <c r="H821" s="522">
        <f t="shared" si="245"/>
        <v>0</v>
      </c>
      <c r="I821" s="522"/>
      <c r="J821" s="522">
        <f t="shared" si="245"/>
        <v>0</v>
      </c>
      <c r="K821" s="522"/>
      <c r="L821" s="154"/>
      <c r="N821" s="154"/>
      <c r="O821" s="154"/>
    </row>
    <row r="822" spans="1:15" s="247" customFormat="1" ht="47.25" x14ac:dyDescent="0.25">
      <c r="A822" s="451" t="s">
        <v>699</v>
      </c>
      <c r="B822" s="453" t="s">
        <v>8</v>
      </c>
      <c r="C822" s="454" t="s">
        <v>22</v>
      </c>
      <c r="D822" s="486" t="s">
        <v>700</v>
      </c>
      <c r="E822" s="456"/>
      <c r="F822" s="159">
        <f>F823</f>
        <v>947</v>
      </c>
      <c r="G822" s="306"/>
      <c r="H822" s="522">
        <f>H823</f>
        <v>0</v>
      </c>
      <c r="I822" s="522"/>
      <c r="J822" s="522">
        <f>J823</f>
        <v>0</v>
      </c>
      <c r="K822" s="522"/>
      <c r="L822" s="246"/>
      <c r="N822" s="246"/>
      <c r="O822" s="246"/>
    </row>
    <row r="823" spans="1:15" s="247" customFormat="1" x14ac:dyDescent="0.25">
      <c r="A823" s="451" t="s">
        <v>120</v>
      </c>
      <c r="B823" s="453" t="s">
        <v>8</v>
      </c>
      <c r="C823" s="454" t="s">
        <v>22</v>
      </c>
      <c r="D823" s="486" t="s">
        <v>700</v>
      </c>
      <c r="E823" s="456">
        <v>200</v>
      </c>
      <c r="F823" s="159">
        <f>F824</f>
        <v>947</v>
      </c>
      <c r="G823" s="306"/>
      <c r="H823" s="522">
        <f>H824</f>
        <v>0</v>
      </c>
      <c r="I823" s="522"/>
      <c r="J823" s="522">
        <f>J824</f>
        <v>0</v>
      </c>
      <c r="K823" s="522"/>
      <c r="L823" s="246"/>
      <c r="N823" s="246"/>
      <c r="O823" s="246"/>
    </row>
    <row r="824" spans="1:15" s="247" customFormat="1" ht="31.5" x14ac:dyDescent="0.25">
      <c r="A824" s="451" t="s">
        <v>52</v>
      </c>
      <c r="B824" s="453" t="s">
        <v>8</v>
      </c>
      <c r="C824" s="454" t="s">
        <v>22</v>
      </c>
      <c r="D824" s="486" t="s">
        <v>700</v>
      </c>
      <c r="E824" s="456">
        <v>240</v>
      </c>
      <c r="F824" s="159">
        <f>'ведом. 2025-2027'!AD837</f>
        <v>947</v>
      </c>
      <c r="G824" s="306"/>
      <c r="H824" s="522">
        <f>'ведом. 2025-2027'!AE837</f>
        <v>0</v>
      </c>
      <c r="I824" s="522"/>
      <c r="J824" s="522">
        <f>'ведом. 2025-2027'!AF837</f>
        <v>0</v>
      </c>
      <c r="K824" s="522"/>
      <c r="L824" s="246"/>
      <c r="N824" s="246"/>
      <c r="O824" s="246"/>
    </row>
    <row r="825" spans="1:15" s="138" customFormat="1" x14ac:dyDescent="0.25">
      <c r="A825" s="384" t="s">
        <v>21</v>
      </c>
      <c r="B825" s="193" t="s">
        <v>16</v>
      </c>
      <c r="C825" s="188"/>
      <c r="D825" s="26"/>
      <c r="E825" s="326"/>
      <c r="F825" s="161">
        <f>F826</f>
        <v>215995</v>
      </c>
      <c r="G825" s="347">
        <f t="shared" ref="G825:K825" si="246">G826</f>
        <v>1748.1</v>
      </c>
      <c r="H825" s="161">
        <f t="shared" si="246"/>
        <v>168096</v>
      </c>
      <c r="I825" s="161">
        <f t="shared" si="246"/>
        <v>659.7</v>
      </c>
      <c r="J825" s="161">
        <f t="shared" si="246"/>
        <v>153265.90000000002</v>
      </c>
      <c r="K825" s="161">
        <f t="shared" si="246"/>
        <v>310.60000000000002</v>
      </c>
      <c r="L825" s="154"/>
      <c r="N825" s="154"/>
      <c r="O825" s="154"/>
    </row>
    <row r="826" spans="1:15" s="138" customFormat="1" x14ac:dyDescent="0.25">
      <c r="A826" s="375" t="s">
        <v>64</v>
      </c>
      <c r="B826" s="191" t="s">
        <v>16</v>
      </c>
      <c r="C826" s="4" t="s">
        <v>29</v>
      </c>
      <c r="D826" s="26"/>
      <c r="E826" s="326"/>
      <c r="F826" s="159">
        <f t="shared" ref="F826:K826" si="247">F827+F882</f>
        <v>215995</v>
      </c>
      <c r="G826" s="522">
        <f t="shared" si="247"/>
        <v>1748.1</v>
      </c>
      <c r="H826" s="522">
        <f t="shared" si="247"/>
        <v>168096</v>
      </c>
      <c r="I826" s="522">
        <f t="shared" si="247"/>
        <v>659.7</v>
      </c>
      <c r="J826" s="522">
        <f t="shared" si="247"/>
        <v>153265.90000000002</v>
      </c>
      <c r="K826" s="522">
        <f t="shared" si="247"/>
        <v>310.60000000000002</v>
      </c>
      <c r="L826" s="154"/>
      <c r="N826" s="154"/>
      <c r="O826" s="154"/>
    </row>
    <row r="827" spans="1:15" s="138" customFormat="1" x14ac:dyDescent="0.25">
      <c r="A827" s="255" t="s">
        <v>572</v>
      </c>
      <c r="B827" s="191" t="s">
        <v>16</v>
      </c>
      <c r="C827" s="4" t="s">
        <v>29</v>
      </c>
      <c r="D827" s="156" t="s">
        <v>114</v>
      </c>
      <c r="E827" s="325"/>
      <c r="F827" s="159">
        <f>F833+F842+F857+F828</f>
        <v>197357.7</v>
      </c>
      <c r="G827" s="522">
        <f t="shared" ref="G827:K827" si="248">G833+G842+G857+G828</f>
        <v>1748.1</v>
      </c>
      <c r="H827" s="522">
        <f t="shared" si="248"/>
        <v>146624</v>
      </c>
      <c r="I827" s="522">
        <f t="shared" si="248"/>
        <v>659.7</v>
      </c>
      <c r="J827" s="522">
        <f t="shared" si="248"/>
        <v>130913.90000000001</v>
      </c>
      <c r="K827" s="522">
        <f t="shared" si="248"/>
        <v>310.60000000000002</v>
      </c>
      <c r="L827" s="154"/>
      <c r="N827" s="154"/>
      <c r="O827" s="154"/>
    </row>
    <row r="828" spans="1:15" s="519" customFormat="1" ht="47.25" x14ac:dyDescent="0.25">
      <c r="A828" s="255" t="s">
        <v>874</v>
      </c>
      <c r="B828" s="453" t="s">
        <v>16</v>
      </c>
      <c r="C828" s="453" t="s">
        <v>29</v>
      </c>
      <c r="D828" s="542" t="s">
        <v>875</v>
      </c>
      <c r="E828" s="482"/>
      <c r="F828" s="522">
        <f>F829</f>
        <v>570</v>
      </c>
      <c r="G828" s="522"/>
      <c r="H828" s="522">
        <f t="shared" ref="H828:J831" si="249">H829</f>
        <v>0</v>
      </c>
      <c r="I828" s="522"/>
      <c r="J828" s="522">
        <f t="shared" si="249"/>
        <v>0</v>
      </c>
      <c r="K828" s="522"/>
      <c r="L828" s="521"/>
      <c r="N828" s="521"/>
      <c r="O828" s="521"/>
    </row>
    <row r="829" spans="1:15" s="519" customFormat="1" ht="31.5" x14ac:dyDescent="0.25">
      <c r="A829" s="255" t="s">
        <v>872</v>
      </c>
      <c r="B829" s="453" t="s">
        <v>16</v>
      </c>
      <c r="C829" s="453" t="s">
        <v>29</v>
      </c>
      <c r="D829" s="542" t="s">
        <v>876</v>
      </c>
      <c r="E829" s="482"/>
      <c r="F829" s="522">
        <f>F830</f>
        <v>570</v>
      </c>
      <c r="G829" s="522"/>
      <c r="H829" s="522">
        <f t="shared" si="249"/>
        <v>0</v>
      </c>
      <c r="I829" s="522"/>
      <c r="J829" s="522">
        <f t="shared" si="249"/>
        <v>0</v>
      </c>
      <c r="K829" s="522"/>
      <c r="L829" s="521"/>
      <c r="N829" s="521"/>
      <c r="O829" s="521"/>
    </row>
    <row r="830" spans="1:15" s="519" customFormat="1" ht="31.5" x14ac:dyDescent="0.25">
      <c r="A830" s="255" t="s">
        <v>873</v>
      </c>
      <c r="B830" s="453" t="s">
        <v>16</v>
      </c>
      <c r="C830" s="453" t="s">
        <v>29</v>
      </c>
      <c r="D830" s="542" t="s">
        <v>877</v>
      </c>
      <c r="E830" s="482"/>
      <c r="F830" s="522">
        <f>F831</f>
        <v>570</v>
      </c>
      <c r="G830" s="522"/>
      <c r="H830" s="522">
        <f t="shared" si="249"/>
        <v>0</v>
      </c>
      <c r="I830" s="522"/>
      <c r="J830" s="522">
        <f t="shared" si="249"/>
        <v>0</v>
      </c>
      <c r="K830" s="522"/>
      <c r="L830" s="521"/>
      <c r="N830" s="521"/>
      <c r="O830" s="521"/>
    </row>
    <row r="831" spans="1:15" s="519" customFormat="1" ht="31.5" x14ac:dyDescent="0.25">
      <c r="A831" s="255" t="s">
        <v>60</v>
      </c>
      <c r="B831" s="453" t="s">
        <v>16</v>
      </c>
      <c r="C831" s="453" t="s">
        <v>29</v>
      </c>
      <c r="D831" s="542" t="s">
        <v>877</v>
      </c>
      <c r="E831" s="482">
        <v>600</v>
      </c>
      <c r="F831" s="522">
        <f>F832</f>
        <v>570</v>
      </c>
      <c r="G831" s="522"/>
      <c r="H831" s="522">
        <f t="shared" si="249"/>
        <v>0</v>
      </c>
      <c r="I831" s="522"/>
      <c r="J831" s="522">
        <f t="shared" si="249"/>
        <v>0</v>
      </c>
      <c r="K831" s="522"/>
      <c r="L831" s="521"/>
      <c r="N831" s="521"/>
      <c r="O831" s="521"/>
    </row>
    <row r="832" spans="1:15" s="519" customFormat="1" x14ac:dyDescent="0.25">
      <c r="A832" s="255" t="s">
        <v>61</v>
      </c>
      <c r="B832" s="453" t="s">
        <v>16</v>
      </c>
      <c r="C832" s="453" t="s">
        <v>29</v>
      </c>
      <c r="D832" s="542" t="s">
        <v>877</v>
      </c>
      <c r="E832" s="482">
        <v>610</v>
      </c>
      <c r="F832" s="522">
        <f>'ведом. 2025-2027'!AD419</f>
        <v>570</v>
      </c>
      <c r="G832" s="522"/>
      <c r="H832" s="522">
        <f>'ведом. 2025-2027'!AE419</f>
        <v>0</v>
      </c>
      <c r="I832" s="522"/>
      <c r="J832" s="522">
        <f>'ведом. 2025-2027'!AF419</f>
        <v>0</v>
      </c>
      <c r="K832" s="522"/>
      <c r="L832" s="521"/>
      <c r="N832" s="521"/>
      <c r="O832" s="521"/>
    </row>
    <row r="833" spans="1:15" s="138" customFormat="1" x14ac:dyDescent="0.25">
      <c r="A833" s="255" t="s">
        <v>489</v>
      </c>
      <c r="B833" s="191" t="s">
        <v>16</v>
      </c>
      <c r="C833" s="4" t="s">
        <v>29</v>
      </c>
      <c r="D833" s="156" t="s">
        <v>313</v>
      </c>
      <c r="E833" s="325"/>
      <c r="F833" s="159">
        <f>F834+F838</f>
        <v>30948.6</v>
      </c>
      <c r="G833" s="522"/>
      <c r="H833" s="522">
        <f t="shared" ref="H833:J833" si="250">H834+H838</f>
        <v>29355.8</v>
      </c>
      <c r="I833" s="522"/>
      <c r="J833" s="522">
        <f t="shared" si="250"/>
        <v>29511.7</v>
      </c>
      <c r="K833" s="522"/>
      <c r="L833" s="154"/>
      <c r="N833" s="154"/>
      <c r="O833" s="154"/>
    </row>
    <row r="834" spans="1:15" s="138" customFormat="1" x14ac:dyDescent="0.25">
      <c r="A834" s="255" t="s">
        <v>314</v>
      </c>
      <c r="B834" s="191" t="s">
        <v>16</v>
      </c>
      <c r="C834" s="4" t="s">
        <v>29</v>
      </c>
      <c r="D834" s="156" t="s">
        <v>315</v>
      </c>
      <c r="E834" s="325"/>
      <c r="F834" s="159">
        <f>F835</f>
        <v>30548.6</v>
      </c>
      <c r="G834" s="306"/>
      <c r="H834" s="522">
        <f>H835</f>
        <v>29355.8</v>
      </c>
      <c r="I834" s="522"/>
      <c r="J834" s="522">
        <f>J835</f>
        <v>29511.7</v>
      </c>
      <c r="K834" s="522"/>
      <c r="L834" s="154"/>
      <c r="N834" s="154"/>
      <c r="O834" s="154"/>
    </row>
    <row r="835" spans="1:15" s="138" customFormat="1" ht="31.5" x14ac:dyDescent="0.25">
      <c r="A835" s="378" t="s">
        <v>252</v>
      </c>
      <c r="B835" s="191" t="s">
        <v>16</v>
      </c>
      <c r="C835" s="4" t="s">
        <v>29</v>
      </c>
      <c r="D835" s="156" t="s">
        <v>253</v>
      </c>
      <c r="E835" s="325"/>
      <c r="F835" s="159">
        <f>F836</f>
        <v>30548.6</v>
      </c>
      <c r="G835" s="306"/>
      <c r="H835" s="522">
        <f>H836</f>
        <v>29355.8</v>
      </c>
      <c r="I835" s="522"/>
      <c r="J835" s="522">
        <f>J836</f>
        <v>29511.7</v>
      </c>
      <c r="K835" s="522"/>
      <c r="L835" s="154"/>
      <c r="N835" s="154"/>
      <c r="O835" s="154"/>
    </row>
    <row r="836" spans="1:15" s="138" customFormat="1" ht="31.5" x14ac:dyDescent="0.25">
      <c r="A836" s="375" t="s">
        <v>60</v>
      </c>
      <c r="B836" s="191" t="s">
        <v>16</v>
      </c>
      <c r="C836" s="4" t="s">
        <v>29</v>
      </c>
      <c r="D836" s="156" t="s">
        <v>253</v>
      </c>
      <c r="E836" s="326">
        <v>600</v>
      </c>
      <c r="F836" s="159">
        <f>F837</f>
        <v>30548.6</v>
      </c>
      <c r="G836" s="306"/>
      <c r="H836" s="522">
        <f>H837</f>
        <v>29355.8</v>
      </c>
      <c r="I836" s="522"/>
      <c r="J836" s="522">
        <f>J837</f>
        <v>29511.7</v>
      </c>
      <c r="K836" s="522"/>
      <c r="L836" s="154"/>
      <c r="N836" s="154"/>
      <c r="O836" s="154"/>
    </row>
    <row r="837" spans="1:15" s="138" customFormat="1" x14ac:dyDescent="0.25">
      <c r="A837" s="375" t="s">
        <v>61</v>
      </c>
      <c r="B837" s="191" t="s">
        <v>16</v>
      </c>
      <c r="C837" s="4" t="s">
        <v>29</v>
      </c>
      <c r="D837" s="156" t="s">
        <v>253</v>
      </c>
      <c r="E837" s="326">
        <v>610</v>
      </c>
      <c r="F837" s="159">
        <f>'ведом. 2025-2027'!AD424</f>
        <v>30548.6</v>
      </c>
      <c r="G837" s="306"/>
      <c r="H837" s="522">
        <f>'ведом. 2025-2027'!AE424</f>
        <v>29355.8</v>
      </c>
      <c r="I837" s="522"/>
      <c r="J837" s="522">
        <f>'ведом. 2025-2027'!AF424</f>
        <v>29511.7</v>
      </c>
      <c r="K837" s="522"/>
      <c r="L837" s="154"/>
      <c r="N837" s="154"/>
      <c r="O837" s="154"/>
    </row>
    <row r="838" spans="1:15" s="519" customFormat="1" ht="31.5" x14ac:dyDescent="0.25">
      <c r="A838" s="451" t="s">
        <v>800</v>
      </c>
      <c r="B838" s="453" t="s">
        <v>16</v>
      </c>
      <c r="C838" s="453" t="s">
        <v>29</v>
      </c>
      <c r="D838" s="542" t="s">
        <v>803</v>
      </c>
      <c r="E838" s="477"/>
      <c r="F838" s="522">
        <f>F839</f>
        <v>400</v>
      </c>
      <c r="G838" s="522"/>
      <c r="H838" s="522">
        <f t="shared" ref="H838:J840" si="251">H839</f>
        <v>0</v>
      </c>
      <c r="I838" s="522"/>
      <c r="J838" s="522">
        <f t="shared" si="251"/>
        <v>0</v>
      </c>
      <c r="K838" s="522"/>
      <c r="L838" s="521"/>
      <c r="N838" s="521"/>
      <c r="O838" s="521"/>
    </row>
    <row r="839" spans="1:15" s="519" customFormat="1" x14ac:dyDescent="0.25">
      <c r="A839" s="451" t="s">
        <v>801</v>
      </c>
      <c r="B839" s="453" t="s">
        <v>16</v>
      </c>
      <c r="C839" s="453" t="s">
        <v>29</v>
      </c>
      <c r="D839" s="542" t="s">
        <v>802</v>
      </c>
      <c r="E839" s="706"/>
      <c r="F839" s="522">
        <f>F840</f>
        <v>400</v>
      </c>
      <c r="G839" s="522"/>
      <c r="H839" s="522">
        <f t="shared" si="251"/>
        <v>0</v>
      </c>
      <c r="I839" s="522"/>
      <c r="J839" s="522">
        <f t="shared" si="251"/>
        <v>0</v>
      </c>
      <c r="K839" s="522"/>
      <c r="L839" s="521"/>
      <c r="N839" s="521"/>
      <c r="O839" s="521"/>
    </row>
    <row r="840" spans="1:15" s="519" customFormat="1" ht="31.5" x14ac:dyDescent="0.25">
      <c r="A840" s="451" t="s">
        <v>60</v>
      </c>
      <c r="B840" s="453" t="s">
        <v>16</v>
      </c>
      <c r="C840" s="453" t="s">
        <v>29</v>
      </c>
      <c r="D840" s="542" t="s">
        <v>802</v>
      </c>
      <c r="E840" s="453">
        <v>600</v>
      </c>
      <c r="F840" s="522">
        <f>F841</f>
        <v>400</v>
      </c>
      <c r="G840" s="522"/>
      <c r="H840" s="522">
        <f t="shared" si="251"/>
        <v>0</v>
      </c>
      <c r="I840" s="522"/>
      <c r="J840" s="522">
        <f t="shared" si="251"/>
        <v>0</v>
      </c>
      <c r="K840" s="522"/>
      <c r="L840" s="521"/>
      <c r="N840" s="521"/>
      <c r="O840" s="521"/>
    </row>
    <row r="841" spans="1:15" s="519" customFormat="1" x14ac:dyDescent="0.25">
      <c r="A841" s="451" t="s">
        <v>61</v>
      </c>
      <c r="B841" s="453" t="s">
        <v>16</v>
      </c>
      <c r="C841" s="453" t="s">
        <v>29</v>
      </c>
      <c r="D841" s="542" t="s">
        <v>802</v>
      </c>
      <c r="E841" s="453">
        <v>610</v>
      </c>
      <c r="F841" s="522">
        <f>'ведом. 2025-2027'!AD428</f>
        <v>400</v>
      </c>
      <c r="G841" s="524"/>
      <c r="H841" s="522">
        <f>'ведом. 2025-2027'!AE428</f>
        <v>0</v>
      </c>
      <c r="I841" s="522"/>
      <c r="J841" s="522">
        <f>'ведом. 2025-2027'!AF428</f>
        <v>0</v>
      </c>
      <c r="K841" s="522"/>
      <c r="L841" s="521"/>
      <c r="N841" s="521"/>
      <c r="O841" s="521"/>
    </row>
    <row r="842" spans="1:15" s="138" customFormat="1" x14ac:dyDescent="0.25">
      <c r="A842" s="271" t="s">
        <v>497</v>
      </c>
      <c r="B842" s="191" t="s">
        <v>16</v>
      </c>
      <c r="C842" s="4" t="s">
        <v>29</v>
      </c>
      <c r="D842" s="156" t="s">
        <v>140</v>
      </c>
      <c r="E842" s="336"/>
      <c r="F842" s="159">
        <f>F843+F853</f>
        <v>39268.299999999996</v>
      </c>
      <c r="G842" s="522">
        <f t="shared" ref="G842:K842" si="252">G843+G853</f>
        <v>307.60000000000002</v>
      </c>
      <c r="H842" s="522">
        <f t="shared" si="252"/>
        <v>37183.199999999997</v>
      </c>
      <c r="I842" s="522">
        <f t="shared" si="252"/>
        <v>314.2</v>
      </c>
      <c r="J842" s="522">
        <f t="shared" si="252"/>
        <v>37369.700000000004</v>
      </c>
      <c r="K842" s="522">
        <f t="shared" si="252"/>
        <v>310.60000000000002</v>
      </c>
      <c r="L842" s="154"/>
      <c r="N842" s="154"/>
      <c r="O842" s="154"/>
    </row>
    <row r="843" spans="1:15" s="138" customFormat="1" ht="31.5" x14ac:dyDescent="0.25">
      <c r="A843" s="255" t="s">
        <v>254</v>
      </c>
      <c r="B843" s="191" t="s">
        <v>16</v>
      </c>
      <c r="C843" s="4" t="s">
        <v>29</v>
      </c>
      <c r="D843" s="156" t="s">
        <v>141</v>
      </c>
      <c r="E843" s="326"/>
      <c r="F843" s="159">
        <f t="shared" ref="F843:K843" si="253">F844+F847+F850</f>
        <v>38268.299999999996</v>
      </c>
      <c r="G843" s="306">
        <f t="shared" si="253"/>
        <v>307.60000000000002</v>
      </c>
      <c r="H843" s="522">
        <f t="shared" si="253"/>
        <v>37183.199999999997</v>
      </c>
      <c r="I843" s="522">
        <f t="shared" si="253"/>
        <v>314.2</v>
      </c>
      <c r="J843" s="522">
        <f t="shared" si="253"/>
        <v>37369.700000000004</v>
      </c>
      <c r="K843" s="522">
        <f t="shared" si="253"/>
        <v>310.60000000000002</v>
      </c>
      <c r="L843" s="154"/>
      <c r="N843" s="154"/>
      <c r="O843" s="154"/>
    </row>
    <row r="844" spans="1:15" s="138" customFormat="1" ht="37.5" customHeight="1" x14ac:dyDescent="0.25">
      <c r="A844" s="378" t="s">
        <v>748</v>
      </c>
      <c r="B844" s="191" t="s">
        <v>16</v>
      </c>
      <c r="C844" s="4" t="s">
        <v>29</v>
      </c>
      <c r="D844" s="156" t="s">
        <v>255</v>
      </c>
      <c r="E844" s="326"/>
      <c r="F844" s="159">
        <f>F845</f>
        <v>1000</v>
      </c>
      <c r="G844" s="306"/>
      <c r="H844" s="522">
        <f>H845</f>
        <v>1000</v>
      </c>
      <c r="I844" s="522"/>
      <c r="J844" s="522">
        <f>J845</f>
        <v>1000</v>
      </c>
      <c r="K844" s="522"/>
      <c r="L844" s="154"/>
      <c r="N844" s="154"/>
      <c r="O844" s="154"/>
    </row>
    <row r="845" spans="1:15" s="138" customFormat="1" ht="31.5" x14ac:dyDescent="0.25">
      <c r="A845" s="375" t="s">
        <v>60</v>
      </c>
      <c r="B845" s="191" t="s">
        <v>16</v>
      </c>
      <c r="C845" s="4" t="s">
        <v>29</v>
      </c>
      <c r="D845" s="156" t="s">
        <v>255</v>
      </c>
      <c r="E845" s="326">
        <v>600</v>
      </c>
      <c r="F845" s="159">
        <f>F846</f>
        <v>1000</v>
      </c>
      <c r="G845" s="306"/>
      <c r="H845" s="522">
        <f>H846</f>
        <v>1000</v>
      </c>
      <c r="I845" s="522"/>
      <c r="J845" s="522">
        <f>J846</f>
        <v>1000</v>
      </c>
      <c r="K845" s="522"/>
      <c r="L845" s="154"/>
      <c r="N845" s="154"/>
      <c r="O845" s="154"/>
    </row>
    <row r="846" spans="1:15" s="138" customFormat="1" x14ac:dyDescent="0.25">
      <c r="A846" s="375" t="s">
        <v>61</v>
      </c>
      <c r="B846" s="191" t="s">
        <v>16</v>
      </c>
      <c r="C846" s="4" t="s">
        <v>29</v>
      </c>
      <c r="D846" s="156" t="s">
        <v>255</v>
      </c>
      <c r="E846" s="326">
        <v>610</v>
      </c>
      <c r="F846" s="159">
        <f>'ведом. 2025-2027'!AD433</f>
        <v>1000</v>
      </c>
      <c r="G846" s="306"/>
      <c r="H846" s="522">
        <f>'ведом. 2025-2027'!AE433</f>
        <v>1000</v>
      </c>
      <c r="I846" s="522"/>
      <c r="J846" s="522">
        <f>'ведом. 2025-2027'!AF433</f>
        <v>1000</v>
      </c>
      <c r="K846" s="522"/>
      <c r="L846" s="154"/>
      <c r="N846" s="154"/>
      <c r="O846" s="154"/>
    </row>
    <row r="847" spans="1:15" s="138" customFormat="1" ht="31.5" x14ac:dyDescent="0.25">
      <c r="A847" s="375" t="s">
        <v>256</v>
      </c>
      <c r="B847" s="191" t="s">
        <v>16</v>
      </c>
      <c r="C847" s="4" t="s">
        <v>29</v>
      </c>
      <c r="D847" s="156" t="s">
        <v>257</v>
      </c>
      <c r="E847" s="326"/>
      <c r="F847" s="159">
        <f>F848</f>
        <v>36893.599999999999</v>
      </c>
      <c r="G847" s="306"/>
      <c r="H847" s="522">
        <f>H848</f>
        <v>35800.5</v>
      </c>
      <c r="I847" s="522"/>
      <c r="J847" s="522">
        <f>J848</f>
        <v>35991.4</v>
      </c>
      <c r="K847" s="522"/>
      <c r="L847" s="154"/>
      <c r="N847" s="154"/>
      <c r="O847" s="154"/>
    </row>
    <row r="848" spans="1:15" s="138" customFormat="1" ht="31.5" x14ac:dyDescent="0.25">
      <c r="A848" s="375" t="s">
        <v>60</v>
      </c>
      <c r="B848" s="191" t="s">
        <v>16</v>
      </c>
      <c r="C848" s="4" t="s">
        <v>29</v>
      </c>
      <c r="D848" s="156" t="s">
        <v>257</v>
      </c>
      <c r="E848" s="326">
        <v>600</v>
      </c>
      <c r="F848" s="159">
        <f>F849</f>
        <v>36893.599999999999</v>
      </c>
      <c r="G848" s="306"/>
      <c r="H848" s="522">
        <f>H849</f>
        <v>35800.5</v>
      </c>
      <c r="I848" s="522"/>
      <c r="J848" s="522">
        <f>J849</f>
        <v>35991.4</v>
      </c>
      <c r="K848" s="522"/>
      <c r="L848" s="154"/>
      <c r="N848" s="154"/>
      <c r="O848" s="154"/>
    </row>
    <row r="849" spans="1:15" s="138" customFormat="1" x14ac:dyDescent="0.25">
      <c r="A849" s="375" t="s">
        <v>61</v>
      </c>
      <c r="B849" s="191" t="s">
        <v>16</v>
      </c>
      <c r="C849" s="4" t="s">
        <v>29</v>
      </c>
      <c r="D849" s="156" t="s">
        <v>257</v>
      </c>
      <c r="E849" s="326">
        <v>610</v>
      </c>
      <c r="F849" s="159">
        <f>'ведом. 2025-2027'!AD436</f>
        <v>36893.599999999999</v>
      </c>
      <c r="G849" s="306"/>
      <c r="H849" s="522">
        <f>'ведом. 2025-2027'!AE436</f>
        <v>35800.5</v>
      </c>
      <c r="I849" s="522"/>
      <c r="J849" s="522">
        <f>'ведом. 2025-2027'!AF436</f>
        <v>35991.4</v>
      </c>
      <c r="K849" s="522"/>
      <c r="L849" s="154"/>
      <c r="N849" s="154"/>
      <c r="O849" s="154"/>
    </row>
    <row r="850" spans="1:15" s="177" customFormat="1" ht="31.5" x14ac:dyDescent="0.25">
      <c r="A850" s="375" t="s">
        <v>500</v>
      </c>
      <c r="B850" s="191" t="s">
        <v>16</v>
      </c>
      <c r="C850" s="4" t="s">
        <v>29</v>
      </c>
      <c r="D850" s="156" t="s">
        <v>398</v>
      </c>
      <c r="E850" s="326"/>
      <c r="F850" s="159">
        <f t="shared" ref="F850:K851" si="254">F851</f>
        <v>374.70000000000005</v>
      </c>
      <c r="G850" s="306">
        <f t="shared" si="254"/>
        <v>307.60000000000002</v>
      </c>
      <c r="H850" s="522">
        <f t="shared" si="254"/>
        <v>382.7</v>
      </c>
      <c r="I850" s="522">
        <f t="shared" si="254"/>
        <v>314.2</v>
      </c>
      <c r="J850" s="522">
        <f t="shared" si="254"/>
        <v>378.3</v>
      </c>
      <c r="K850" s="522">
        <f t="shared" si="254"/>
        <v>310.60000000000002</v>
      </c>
      <c r="L850" s="154"/>
      <c r="N850" s="154"/>
      <c r="O850" s="154"/>
    </row>
    <row r="851" spans="1:15" s="177" customFormat="1" ht="31.5" x14ac:dyDescent="0.25">
      <c r="A851" s="375" t="s">
        <v>60</v>
      </c>
      <c r="B851" s="191" t="s">
        <v>16</v>
      </c>
      <c r="C851" s="4" t="s">
        <v>29</v>
      </c>
      <c r="D851" s="156" t="s">
        <v>398</v>
      </c>
      <c r="E851" s="326">
        <v>600</v>
      </c>
      <c r="F851" s="159">
        <f t="shared" si="254"/>
        <v>374.70000000000005</v>
      </c>
      <c r="G851" s="306">
        <f t="shared" si="254"/>
        <v>307.60000000000002</v>
      </c>
      <c r="H851" s="522">
        <f t="shared" si="254"/>
        <v>382.7</v>
      </c>
      <c r="I851" s="522">
        <f t="shared" si="254"/>
        <v>314.2</v>
      </c>
      <c r="J851" s="522">
        <f t="shared" si="254"/>
        <v>378.3</v>
      </c>
      <c r="K851" s="522">
        <f t="shared" si="254"/>
        <v>310.60000000000002</v>
      </c>
      <c r="L851" s="154"/>
      <c r="N851" s="154"/>
      <c r="O851" s="154"/>
    </row>
    <row r="852" spans="1:15" s="177" customFormat="1" x14ac:dyDescent="0.25">
      <c r="A852" s="375" t="s">
        <v>61</v>
      </c>
      <c r="B852" s="191" t="s">
        <v>16</v>
      </c>
      <c r="C852" s="4" t="s">
        <v>29</v>
      </c>
      <c r="D852" s="156" t="s">
        <v>398</v>
      </c>
      <c r="E852" s="326">
        <v>610</v>
      </c>
      <c r="F852" s="159">
        <f>'ведом. 2025-2027'!AD439</f>
        <v>374.70000000000005</v>
      </c>
      <c r="G852" s="306">
        <v>307.60000000000002</v>
      </c>
      <c r="H852" s="522">
        <f>'ведом. 2025-2027'!AE439</f>
        <v>382.7</v>
      </c>
      <c r="I852" s="522">
        <v>314.2</v>
      </c>
      <c r="J852" s="522">
        <f>'ведом. 2025-2027'!AF439</f>
        <v>378.3</v>
      </c>
      <c r="K852" s="522">
        <v>310.60000000000002</v>
      </c>
      <c r="L852" s="154"/>
      <c r="N852" s="154"/>
      <c r="O852" s="154"/>
    </row>
    <row r="853" spans="1:15" s="519" customFormat="1" ht="31.5" x14ac:dyDescent="0.25">
      <c r="A853" s="651" t="s">
        <v>868</v>
      </c>
      <c r="B853" s="453" t="s">
        <v>16</v>
      </c>
      <c r="C853" s="453" t="s">
        <v>29</v>
      </c>
      <c r="D853" s="542" t="s">
        <v>870</v>
      </c>
      <c r="E853" s="454"/>
      <c r="F853" s="522">
        <f>F854</f>
        <v>1000</v>
      </c>
      <c r="G853" s="522"/>
      <c r="H853" s="522">
        <f t="shared" ref="H853:J855" si="255">H854</f>
        <v>0</v>
      </c>
      <c r="I853" s="522"/>
      <c r="J853" s="522">
        <f t="shared" si="255"/>
        <v>0</v>
      </c>
      <c r="K853" s="522"/>
      <c r="L853" s="521"/>
      <c r="N853" s="521"/>
      <c r="O853" s="521"/>
    </row>
    <row r="854" spans="1:15" s="519" customFormat="1" x14ac:dyDescent="0.25">
      <c r="A854" s="651" t="s">
        <v>869</v>
      </c>
      <c r="B854" s="453" t="s">
        <v>16</v>
      </c>
      <c r="C854" s="453" t="s">
        <v>29</v>
      </c>
      <c r="D854" s="542" t="s">
        <v>871</v>
      </c>
      <c r="E854" s="454"/>
      <c r="F854" s="522">
        <f>F855</f>
        <v>1000</v>
      </c>
      <c r="G854" s="522"/>
      <c r="H854" s="522">
        <f t="shared" si="255"/>
        <v>0</v>
      </c>
      <c r="I854" s="522"/>
      <c r="J854" s="522">
        <f t="shared" si="255"/>
        <v>0</v>
      </c>
      <c r="K854" s="522"/>
      <c r="L854" s="521"/>
      <c r="N854" s="521"/>
      <c r="O854" s="521"/>
    </row>
    <row r="855" spans="1:15" s="519" customFormat="1" ht="31.5" x14ac:dyDescent="0.25">
      <c r="A855" s="651" t="s">
        <v>60</v>
      </c>
      <c r="B855" s="453" t="s">
        <v>16</v>
      </c>
      <c r="C855" s="453" t="s">
        <v>29</v>
      </c>
      <c r="D855" s="542" t="s">
        <v>871</v>
      </c>
      <c r="E855" s="454">
        <v>600</v>
      </c>
      <c r="F855" s="522">
        <f>F856</f>
        <v>1000</v>
      </c>
      <c r="G855" s="522"/>
      <c r="H855" s="522">
        <f t="shared" si="255"/>
        <v>0</v>
      </c>
      <c r="I855" s="522"/>
      <c r="J855" s="522">
        <f t="shared" si="255"/>
        <v>0</v>
      </c>
      <c r="K855" s="522"/>
      <c r="L855" s="521"/>
      <c r="N855" s="521"/>
      <c r="O855" s="521"/>
    </row>
    <row r="856" spans="1:15" s="519" customFormat="1" x14ac:dyDescent="0.25">
      <c r="A856" s="651" t="s">
        <v>61</v>
      </c>
      <c r="B856" s="453" t="s">
        <v>16</v>
      </c>
      <c r="C856" s="453" t="s">
        <v>29</v>
      </c>
      <c r="D856" s="542" t="s">
        <v>871</v>
      </c>
      <c r="E856" s="454">
        <v>610</v>
      </c>
      <c r="F856" s="522">
        <f>'ведом. 2025-2027'!AD443</f>
        <v>1000</v>
      </c>
      <c r="G856" s="524"/>
      <c r="H856" s="522">
        <f>'ведом. 2025-2027'!AE443</f>
        <v>0</v>
      </c>
      <c r="I856" s="522"/>
      <c r="J856" s="522">
        <f>'ведом. 2025-2027'!AF443</f>
        <v>0</v>
      </c>
      <c r="K856" s="522"/>
      <c r="L856" s="521"/>
      <c r="N856" s="521"/>
      <c r="O856" s="521"/>
    </row>
    <row r="857" spans="1:15" s="138" customFormat="1" ht="31.5" x14ac:dyDescent="0.25">
      <c r="A857" s="255" t="s">
        <v>491</v>
      </c>
      <c r="B857" s="191" t="s">
        <v>16</v>
      </c>
      <c r="C857" s="4" t="s">
        <v>29</v>
      </c>
      <c r="D857" s="156" t="s">
        <v>258</v>
      </c>
      <c r="E857" s="326"/>
      <c r="F857" s="159">
        <f>F858+F868+F878+F875</f>
        <v>126570.8</v>
      </c>
      <c r="G857" s="522">
        <f t="shared" ref="G857:J857" si="256">G858+G868+G878</f>
        <v>1440.5</v>
      </c>
      <c r="H857" s="522">
        <f t="shared" si="256"/>
        <v>80085</v>
      </c>
      <c r="I857" s="522">
        <f t="shared" si="256"/>
        <v>345.5</v>
      </c>
      <c r="J857" s="522">
        <f t="shared" si="256"/>
        <v>64032.5</v>
      </c>
      <c r="K857" s="522"/>
      <c r="L857" s="154"/>
      <c r="N857" s="154"/>
      <c r="O857" s="154"/>
    </row>
    <row r="858" spans="1:15" s="138" customFormat="1" x14ac:dyDescent="0.25">
      <c r="A858" s="255" t="s">
        <v>352</v>
      </c>
      <c r="B858" s="191" t="s">
        <v>16</v>
      </c>
      <c r="C858" s="4" t="s">
        <v>29</v>
      </c>
      <c r="D858" s="156" t="s">
        <v>492</v>
      </c>
      <c r="E858" s="326"/>
      <c r="F858" s="159">
        <f>F859</f>
        <v>25585</v>
      </c>
      <c r="G858" s="306"/>
      <c r="H858" s="522">
        <f>H859</f>
        <v>130</v>
      </c>
      <c r="I858" s="522"/>
      <c r="J858" s="522">
        <f>J859</f>
        <v>0</v>
      </c>
      <c r="K858" s="522"/>
      <c r="L858" s="154"/>
      <c r="N858" s="154"/>
      <c r="O858" s="154"/>
    </row>
    <row r="859" spans="1:15" s="138" customFormat="1" x14ac:dyDescent="0.25">
      <c r="A859" s="378" t="s">
        <v>259</v>
      </c>
      <c r="B859" s="191" t="s">
        <v>16</v>
      </c>
      <c r="C859" s="4" t="s">
        <v>29</v>
      </c>
      <c r="D859" s="156" t="s">
        <v>551</v>
      </c>
      <c r="E859" s="326"/>
      <c r="F859" s="159">
        <f>F860+F865</f>
        <v>25585</v>
      </c>
      <c r="G859" s="306"/>
      <c r="H859" s="522">
        <f>H860+H865</f>
        <v>130</v>
      </c>
      <c r="I859" s="522"/>
      <c r="J859" s="522">
        <f>J860+J865</f>
        <v>0</v>
      </c>
      <c r="K859" s="522"/>
      <c r="L859" s="154"/>
      <c r="N859" s="154"/>
      <c r="O859" s="154"/>
    </row>
    <row r="860" spans="1:15" s="138" customFormat="1" ht="31.5" x14ac:dyDescent="0.25">
      <c r="A860" s="375" t="s">
        <v>260</v>
      </c>
      <c r="B860" s="191" t="s">
        <v>16</v>
      </c>
      <c r="C860" s="4" t="s">
        <v>29</v>
      </c>
      <c r="D860" s="156" t="s">
        <v>552</v>
      </c>
      <c r="E860" s="326"/>
      <c r="F860" s="159">
        <f>F863+F861</f>
        <v>25050</v>
      </c>
      <c r="G860" s="522"/>
      <c r="H860" s="522">
        <f t="shared" ref="H860" si="257">H863+H861</f>
        <v>130</v>
      </c>
      <c r="I860" s="522"/>
      <c r="J860" s="522">
        <f t="shared" ref="J860" si="258">J863-J861</f>
        <v>0</v>
      </c>
      <c r="K860" s="522"/>
      <c r="L860" s="154"/>
      <c r="N860" s="154"/>
      <c r="O860" s="154"/>
    </row>
    <row r="861" spans="1:15" s="519" customFormat="1" x14ac:dyDescent="0.25">
      <c r="A861" s="375" t="s">
        <v>120</v>
      </c>
      <c r="B861" s="191" t="s">
        <v>16</v>
      </c>
      <c r="C861" s="516" t="s">
        <v>29</v>
      </c>
      <c r="D861" s="156" t="s">
        <v>552</v>
      </c>
      <c r="E861" s="326">
        <v>200</v>
      </c>
      <c r="F861" s="522">
        <f>F862</f>
        <v>6030</v>
      </c>
      <c r="G861" s="522"/>
      <c r="H861" s="522">
        <f t="shared" ref="H861" si="259">H862</f>
        <v>130</v>
      </c>
      <c r="I861" s="522"/>
      <c r="J861" s="522">
        <f t="shared" ref="J861" si="260">J862</f>
        <v>0</v>
      </c>
      <c r="K861" s="522"/>
      <c r="L861" s="521"/>
      <c r="N861" s="521"/>
      <c r="O861" s="521"/>
    </row>
    <row r="862" spans="1:15" s="519" customFormat="1" ht="31.5" x14ac:dyDescent="0.25">
      <c r="A862" s="375" t="s">
        <v>52</v>
      </c>
      <c r="B862" s="191" t="s">
        <v>16</v>
      </c>
      <c r="C862" s="516" t="s">
        <v>29</v>
      </c>
      <c r="D862" s="156" t="s">
        <v>552</v>
      </c>
      <c r="E862" s="326">
        <v>240</v>
      </c>
      <c r="F862" s="522">
        <f>'ведом. 2025-2027'!AD449</f>
        <v>6030</v>
      </c>
      <c r="G862" s="524"/>
      <c r="H862" s="522">
        <f>'ведом. 2025-2027'!AE449</f>
        <v>130</v>
      </c>
      <c r="I862" s="522"/>
      <c r="J862" s="522">
        <f>'ведом. 2025-2027'!AF449</f>
        <v>0</v>
      </c>
      <c r="K862" s="522"/>
      <c r="L862" s="521"/>
      <c r="N862" s="521"/>
      <c r="O862" s="521"/>
    </row>
    <row r="863" spans="1:15" s="138" customFormat="1" ht="31.5" x14ac:dyDescent="0.25">
      <c r="A863" s="375" t="s">
        <v>60</v>
      </c>
      <c r="B863" s="191" t="s">
        <v>16</v>
      </c>
      <c r="C863" s="4" t="s">
        <v>29</v>
      </c>
      <c r="D863" s="156" t="s">
        <v>552</v>
      </c>
      <c r="E863" s="326">
        <v>600</v>
      </c>
      <c r="F863" s="159">
        <f>F864</f>
        <v>19020</v>
      </c>
      <c r="G863" s="306"/>
      <c r="H863" s="522">
        <f>H864</f>
        <v>0</v>
      </c>
      <c r="I863" s="522"/>
      <c r="J863" s="522">
        <f>J864</f>
        <v>0</v>
      </c>
      <c r="K863" s="522"/>
      <c r="L863" s="154"/>
      <c r="N863" s="154"/>
      <c r="O863" s="154"/>
    </row>
    <row r="864" spans="1:15" s="138" customFormat="1" x14ac:dyDescent="0.25">
      <c r="A864" s="375" t="s">
        <v>61</v>
      </c>
      <c r="B864" s="191" t="s">
        <v>16</v>
      </c>
      <c r="C864" s="4" t="s">
        <v>29</v>
      </c>
      <c r="D864" s="156" t="s">
        <v>552</v>
      </c>
      <c r="E864" s="326">
        <v>610</v>
      </c>
      <c r="F864" s="159">
        <f>'ведом. 2025-2027'!AD451</f>
        <v>19020</v>
      </c>
      <c r="G864" s="306"/>
      <c r="H864" s="522">
        <f>'ведом. 2025-2027'!AE451</f>
        <v>0</v>
      </c>
      <c r="I864" s="522"/>
      <c r="J864" s="522">
        <f>'ведом. 2025-2027'!AF451</f>
        <v>0</v>
      </c>
      <c r="K864" s="522"/>
      <c r="L864" s="154"/>
      <c r="N864" s="154"/>
      <c r="O864" s="154"/>
    </row>
    <row r="865" spans="1:15" s="138" customFormat="1" ht="31.5" x14ac:dyDescent="0.25">
      <c r="A865" s="375" t="s">
        <v>261</v>
      </c>
      <c r="B865" s="191" t="s">
        <v>16</v>
      </c>
      <c r="C865" s="4" t="s">
        <v>29</v>
      </c>
      <c r="D865" s="156" t="s">
        <v>553</v>
      </c>
      <c r="E865" s="326"/>
      <c r="F865" s="159">
        <f>F866</f>
        <v>535</v>
      </c>
      <c r="G865" s="306"/>
      <c r="H865" s="522">
        <f>H866</f>
        <v>0</v>
      </c>
      <c r="I865" s="522"/>
      <c r="J865" s="522">
        <f>J866</f>
        <v>0</v>
      </c>
      <c r="K865" s="522"/>
      <c r="L865" s="154"/>
      <c r="N865" s="154"/>
      <c r="O865" s="154"/>
    </row>
    <row r="866" spans="1:15" s="138" customFormat="1" ht="31.5" x14ac:dyDescent="0.25">
      <c r="A866" s="375" t="s">
        <v>60</v>
      </c>
      <c r="B866" s="191" t="s">
        <v>16</v>
      </c>
      <c r="C866" s="4" t="s">
        <v>29</v>
      </c>
      <c r="D866" s="156" t="s">
        <v>553</v>
      </c>
      <c r="E866" s="326">
        <v>600</v>
      </c>
      <c r="F866" s="159">
        <f>F867</f>
        <v>535</v>
      </c>
      <c r="G866" s="306"/>
      <c r="H866" s="522">
        <f>H867</f>
        <v>0</v>
      </c>
      <c r="I866" s="522"/>
      <c r="J866" s="522">
        <f>J867</f>
        <v>0</v>
      </c>
      <c r="K866" s="522"/>
      <c r="L866" s="154"/>
      <c r="N866" s="154"/>
      <c r="O866" s="154"/>
    </row>
    <row r="867" spans="1:15" s="138" customFormat="1" x14ac:dyDescent="0.25">
      <c r="A867" s="375" t="s">
        <v>61</v>
      </c>
      <c r="B867" s="191" t="s">
        <v>16</v>
      </c>
      <c r="C867" s="4" t="s">
        <v>29</v>
      </c>
      <c r="D867" s="156" t="s">
        <v>553</v>
      </c>
      <c r="E867" s="326">
        <v>610</v>
      </c>
      <c r="F867" s="159">
        <f>'ведом. 2025-2027'!AD454</f>
        <v>535</v>
      </c>
      <c r="G867" s="306"/>
      <c r="H867" s="522">
        <f>'ведом. 2025-2027'!AE454</f>
        <v>0</v>
      </c>
      <c r="I867" s="522"/>
      <c r="J867" s="522">
        <f>'ведом. 2025-2027'!AF454</f>
        <v>0</v>
      </c>
      <c r="K867" s="522"/>
      <c r="L867" s="154"/>
      <c r="N867" s="154"/>
      <c r="O867" s="154"/>
    </row>
    <row r="868" spans="1:15" s="138" customFormat="1" ht="31.5" x14ac:dyDescent="0.25">
      <c r="A868" s="256" t="s">
        <v>353</v>
      </c>
      <c r="B868" s="191" t="s">
        <v>16</v>
      </c>
      <c r="C868" s="4" t="s">
        <v>29</v>
      </c>
      <c r="D868" s="156" t="s">
        <v>493</v>
      </c>
      <c r="E868" s="326"/>
      <c r="F868" s="159">
        <f>F869+F872</f>
        <v>93545.3</v>
      </c>
      <c r="G868" s="306"/>
      <c r="H868" s="522">
        <f>H869+H872</f>
        <v>79609.5</v>
      </c>
      <c r="I868" s="522"/>
      <c r="J868" s="522">
        <f>J869+J872</f>
        <v>64032.5</v>
      </c>
      <c r="K868" s="522"/>
      <c r="L868" s="154"/>
      <c r="N868" s="154"/>
      <c r="O868" s="154"/>
    </row>
    <row r="869" spans="1:15" s="199" customFormat="1" ht="47.25" x14ac:dyDescent="0.25">
      <c r="A869" s="312" t="str">
        <f>'ведом. 2025-2027'!X456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9" s="201" t="str">
        <f>'ведом. 2025-2027'!Z456</f>
        <v>08</v>
      </c>
      <c r="C869" s="200" t="str">
        <f>'ведом. 2025-2027'!AA456</f>
        <v>01</v>
      </c>
      <c r="D869" s="156" t="s">
        <v>494</v>
      </c>
      <c r="E869" s="344"/>
      <c r="F869" s="197">
        <f t="shared" ref="F869:J870" si="261">F870</f>
        <v>41851.599999999999</v>
      </c>
      <c r="G869" s="352"/>
      <c r="H869" s="441">
        <f t="shared" si="261"/>
        <v>37761.300000000003</v>
      </c>
      <c r="I869" s="441"/>
      <c r="J869" s="441">
        <f t="shared" si="261"/>
        <v>21859.200000000001</v>
      </c>
      <c r="K869" s="441"/>
      <c r="L869" s="198"/>
      <c r="N869" s="198"/>
      <c r="O869" s="198"/>
    </row>
    <row r="870" spans="1:15" s="199" customFormat="1" ht="31.5" x14ac:dyDescent="0.25">
      <c r="A870" s="312" t="str">
        <f>'ведом. 2025-2027'!X457</f>
        <v>Предоставление субсидий бюджетным, автономным учреждениям и иным некоммерческим организациям</v>
      </c>
      <c r="B870" s="201" t="str">
        <f>'ведом. 2025-2027'!Z457</f>
        <v>08</v>
      </c>
      <c r="C870" s="200" t="str">
        <f>'ведом. 2025-2027'!AA457</f>
        <v>01</v>
      </c>
      <c r="D870" s="156" t="s">
        <v>494</v>
      </c>
      <c r="E870" s="344">
        <f>'ведом. 2025-2027'!AC457</f>
        <v>600</v>
      </c>
      <c r="F870" s="197">
        <f t="shared" si="261"/>
        <v>41851.599999999999</v>
      </c>
      <c r="G870" s="352"/>
      <c r="H870" s="441">
        <f t="shared" si="261"/>
        <v>37761.300000000003</v>
      </c>
      <c r="I870" s="441"/>
      <c r="J870" s="441">
        <f t="shared" si="261"/>
        <v>21859.200000000001</v>
      </c>
      <c r="K870" s="441"/>
      <c r="L870" s="198"/>
      <c r="N870" s="198"/>
      <c r="O870" s="198"/>
    </row>
    <row r="871" spans="1:15" s="199" customFormat="1" x14ac:dyDescent="0.25">
      <c r="A871" s="312" t="str">
        <f>'ведом. 2025-2027'!X458</f>
        <v>Субсидии бюджетным учреждениям</v>
      </c>
      <c r="B871" s="201" t="str">
        <f>'ведом. 2025-2027'!Z458</f>
        <v>08</v>
      </c>
      <c r="C871" s="200" t="str">
        <f>'ведом. 2025-2027'!AA458</f>
        <v>01</v>
      </c>
      <c r="D871" s="156" t="s">
        <v>494</v>
      </c>
      <c r="E871" s="344">
        <f>'ведом. 2025-2027'!AC458</f>
        <v>610</v>
      </c>
      <c r="F871" s="197">
        <f>'ведом. 2025-2027'!AD458</f>
        <v>41851.599999999999</v>
      </c>
      <c r="G871" s="352"/>
      <c r="H871" s="441">
        <f>'ведом. 2025-2027'!AE458</f>
        <v>37761.300000000003</v>
      </c>
      <c r="I871" s="441"/>
      <c r="J871" s="441">
        <f>'ведом. 2025-2027'!AF458</f>
        <v>21859.200000000001</v>
      </c>
      <c r="K871" s="441"/>
      <c r="L871" s="198"/>
      <c r="N871" s="198"/>
      <c r="O871" s="198"/>
    </row>
    <row r="872" spans="1:15" s="199" customFormat="1" ht="47.25" x14ac:dyDescent="0.25">
      <c r="A872" s="312" t="str">
        <f>'ведом. 2025-2027'!X459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72" s="201" t="str">
        <f>'ведом. 2025-2027'!Z459</f>
        <v>08</v>
      </c>
      <c r="C872" s="200" t="str">
        <f>'ведом. 2025-2027'!AA459</f>
        <v>01</v>
      </c>
      <c r="D872" s="156" t="s">
        <v>495</v>
      </c>
      <c r="E872" s="344"/>
      <c r="F872" s="197">
        <f>F873</f>
        <v>51693.700000000004</v>
      </c>
      <c r="G872" s="352"/>
      <c r="H872" s="441">
        <f>H873</f>
        <v>41848.199999999997</v>
      </c>
      <c r="I872" s="441"/>
      <c r="J872" s="441">
        <f>J873</f>
        <v>42173.3</v>
      </c>
      <c r="K872" s="441"/>
      <c r="L872" s="198"/>
      <c r="N872" s="198"/>
      <c r="O872" s="198"/>
    </row>
    <row r="873" spans="1:15" s="199" customFormat="1" ht="31.5" x14ac:dyDescent="0.25">
      <c r="A873" s="312" t="str">
        <f>'ведом. 2025-2027'!X460</f>
        <v>Предоставление субсидий бюджетным, автономным учреждениям и иным некоммерческим организациям</v>
      </c>
      <c r="B873" s="201" t="str">
        <f>'ведом. 2025-2027'!Z460</f>
        <v>08</v>
      </c>
      <c r="C873" s="200" t="str">
        <f>'ведом. 2025-2027'!AA460</f>
        <v>01</v>
      </c>
      <c r="D873" s="156" t="s">
        <v>495</v>
      </c>
      <c r="E873" s="344">
        <f>'ведом. 2025-2027'!AC460</f>
        <v>600</v>
      </c>
      <c r="F873" s="197">
        <f>F874</f>
        <v>51693.700000000004</v>
      </c>
      <c r="G873" s="352"/>
      <c r="H873" s="441">
        <f>H874</f>
        <v>41848.199999999997</v>
      </c>
      <c r="I873" s="441"/>
      <c r="J873" s="441">
        <f>J874</f>
        <v>42173.3</v>
      </c>
      <c r="K873" s="441"/>
      <c r="L873" s="198"/>
      <c r="N873" s="198"/>
      <c r="O873" s="198"/>
    </row>
    <row r="874" spans="1:15" s="199" customFormat="1" x14ac:dyDescent="0.25">
      <c r="A874" s="312" t="str">
        <f>'ведом. 2025-2027'!X461</f>
        <v>Субсидии бюджетным учреждениям</v>
      </c>
      <c r="B874" s="201" t="str">
        <f>'ведом. 2025-2027'!Z461</f>
        <v>08</v>
      </c>
      <c r="C874" s="200" t="str">
        <f>'ведом. 2025-2027'!AA461</f>
        <v>01</v>
      </c>
      <c r="D874" s="156" t="s">
        <v>495</v>
      </c>
      <c r="E874" s="344">
        <f>'ведом. 2025-2027'!AC461</f>
        <v>610</v>
      </c>
      <c r="F874" s="197">
        <f>'ведом. 2025-2027'!AD461</f>
        <v>51693.700000000004</v>
      </c>
      <c r="G874" s="352"/>
      <c r="H874" s="441">
        <f>'ведом. 2025-2027'!AE461</f>
        <v>41848.199999999997</v>
      </c>
      <c r="I874" s="441"/>
      <c r="J874" s="441">
        <f>'ведом. 2025-2027'!AF461</f>
        <v>42173.3</v>
      </c>
      <c r="K874" s="441"/>
      <c r="L874" s="198"/>
      <c r="N874" s="198"/>
      <c r="O874" s="198"/>
    </row>
    <row r="875" spans="1:15" s="508" customFormat="1" x14ac:dyDescent="0.25">
      <c r="A875" s="451" t="s">
        <v>805</v>
      </c>
      <c r="B875" s="453" t="s">
        <v>16</v>
      </c>
      <c r="C875" s="453" t="s">
        <v>29</v>
      </c>
      <c r="D875" s="542" t="s">
        <v>806</v>
      </c>
      <c r="E875" s="454"/>
      <c r="F875" s="441">
        <f>F876</f>
        <v>6000</v>
      </c>
      <c r="G875" s="441"/>
      <c r="H875" s="441">
        <f t="shared" ref="H875:J876" si="262">H876</f>
        <v>0</v>
      </c>
      <c r="I875" s="441"/>
      <c r="J875" s="441">
        <f t="shared" si="262"/>
        <v>0</v>
      </c>
      <c r="K875" s="441"/>
      <c r="L875" s="507"/>
      <c r="N875" s="507"/>
      <c r="O875" s="507"/>
    </row>
    <row r="876" spans="1:15" s="508" customFormat="1" ht="31.5" x14ac:dyDescent="0.25">
      <c r="A876" s="451" t="s">
        <v>60</v>
      </c>
      <c r="B876" s="453" t="s">
        <v>16</v>
      </c>
      <c r="C876" s="453" t="s">
        <v>29</v>
      </c>
      <c r="D876" s="542" t="s">
        <v>806</v>
      </c>
      <c r="E876" s="454">
        <v>600</v>
      </c>
      <c r="F876" s="441">
        <f>F877</f>
        <v>6000</v>
      </c>
      <c r="G876" s="441"/>
      <c r="H876" s="441">
        <f t="shared" si="262"/>
        <v>0</v>
      </c>
      <c r="I876" s="441"/>
      <c r="J876" s="441">
        <f t="shared" si="262"/>
        <v>0</v>
      </c>
      <c r="K876" s="441"/>
      <c r="L876" s="507"/>
      <c r="N876" s="507"/>
      <c r="O876" s="507"/>
    </row>
    <row r="877" spans="1:15" s="508" customFormat="1" x14ac:dyDescent="0.25">
      <c r="A877" s="451" t="s">
        <v>61</v>
      </c>
      <c r="B877" s="453" t="s">
        <v>16</v>
      </c>
      <c r="C877" s="453" t="s">
        <v>29</v>
      </c>
      <c r="D877" s="542" t="s">
        <v>806</v>
      </c>
      <c r="E877" s="454">
        <v>610</v>
      </c>
      <c r="F877" s="441">
        <f>'ведом. 2025-2027'!AD465</f>
        <v>6000</v>
      </c>
      <c r="G877" s="352"/>
      <c r="H877" s="441">
        <f>'ведом. 2025-2027'!AE465</f>
        <v>0</v>
      </c>
      <c r="I877" s="441"/>
      <c r="J877" s="441">
        <f>'ведом. 2025-2027'!AF465</f>
        <v>0</v>
      </c>
      <c r="K877" s="441"/>
      <c r="L877" s="507"/>
      <c r="N877" s="507"/>
      <c r="O877" s="507"/>
    </row>
    <row r="878" spans="1:15" s="199" customFormat="1" ht="31.5" x14ac:dyDescent="0.25">
      <c r="A878" s="253" t="s">
        <v>634</v>
      </c>
      <c r="B878" s="1" t="s">
        <v>16</v>
      </c>
      <c r="C878" s="4" t="s">
        <v>29</v>
      </c>
      <c r="D878" s="291" t="s">
        <v>635</v>
      </c>
      <c r="E878" s="429"/>
      <c r="F878" s="197">
        <f>F879</f>
        <v>1440.5</v>
      </c>
      <c r="G878" s="197">
        <f t="shared" ref="G878:J880" si="263">G879</f>
        <v>1440.5</v>
      </c>
      <c r="H878" s="441">
        <f t="shared" si="263"/>
        <v>345.5</v>
      </c>
      <c r="I878" s="441">
        <f t="shared" si="263"/>
        <v>345.5</v>
      </c>
      <c r="J878" s="441">
        <f t="shared" si="263"/>
        <v>0</v>
      </c>
      <c r="K878" s="441"/>
      <c r="L878" s="198"/>
      <c r="N878" s="198"/>
      <c r="O878" s="198"/>
    </row>
    <row r="879" spans="1:15" s="199" customFormat="1" ht="31.5" x14ac:dyDescent="0.25">
      <c r="A879" s="253" t="s">
        <v>636</v>
      </c>
      <c r="B879" s="1" t="s">
        <v>16</v>
      </c>
      <c r="C879" s="4" t="s">
        <v>29</v>
      </c>
      <c r="D879" s="291" t="s">
        <v>637</v>
      </c>
      <c r="E879" s="429"/>
      <c r="F879" s="197">
        <f>F880</f>
        <v>1440.5</v>
      </c>
      <c r="G879" s="197">
        <f t="shared" si="263"/>
        <v>1440.5</v>
      </c>
      <c r="H879" s="441">
        <f t="shared" si="263"/>
        <v>345.5</v>
      </c>
      <c r="I879" s="441">
        <f t="shared" si="263"/>
        <v>345.5</v>
      </c>
      <c r="J879" s="441">
        <f t="shared" si="263"/>
        <v>0</v>
      </c>
      <c r="K879" s="441"/>
      <c r="L879" s="198"/>
      <c r="N879" s="198"/>
      <c r="O879" s="198"/>
    </row>
    <row r="880" spans="1:15" s="199" customFormat="1" ht="31.5" x14ac:dyDescent="0.25">
      <c r="A880" s="253" t="s">
        <v>60</v>
      </c>
      <c r="B880" s="1" t="s">
        <v>16</v>
      </c>
      <c r="C880" s="4" t="s">
        <v>29</v>
      </c>
      <c r="D880" s="291" t="s">
        <v>637</v>
      </c>
      <c r="E880" s="429">
        <v>600</v>
      </c>
      <c r="F880" s="197">
        <f>F881</f>
        <v>1440.5</v>
      </c>
      <c r="G880" s="197">
        <f t="shared" si="263"/>
        <v>1440.5</v>
      </c>
      <c r="H880" s="441">
        <f t="shared" si="263"/>
        <v>345.5</v>
      </c>
      <c r="I880" s="441">
        <f t="shared" si="263"/>
        <v>345.5</v>
      </c>
      <c r="J880" s="441">
        <f t="shared" si="263"/>
        <v>0</v>
      </c>
      <c r="K880" s="441"/>
      <c r="L880" s="198"/>
      <c r="N880" s="198"/>
      <c r="O880" s="198"/>
    </row>
    <row r="881" spans="1:15" s="199" customFormat="1" x14ac:dyDescent="0.25">
      <c r="A881" s="253" t="s">
        <v>61</v>
      </c>
      <c r="B881" s="1" t="s">
        <v>16</v>
      </c>
      <c r="C881" s="4" t="s">
        <v>29</v>
      </c>
      <c r="D881" s="291" t="s">
        <v>637</v>
      </c>
      <c r="E881" s="429">
        <v>610</v>
      </c>
      <c r="F881" s="197">
        <f>'ведом. 2025-2027'!AD469</f>
        <v>1440.5</v>
      </c>
      <c r="G881" s="352">
        <f>F881</f>
        <v>1440.5</v>
      </c>
      <c r="H881" s="441">
        <f>'ведом. 2025-2027'!AE469</f>
        <v>345.5</v>
      </c>
      <c r="I881" s="441">
        <f>H881</f>
        <v>345.5</v>
      </c>
      <c r="J881" s="441">
        <f>'ведом. 2025-2027'!AF469</f>
        <v>0</v>
      </c>
      <c r="K881" s="441"/>
      <c r="L881" s="198"/>
      <c r="N881" s="198"/>
      <c r="O881" s="198"/>
    </row>
    <row r="882" spans="1:15" s="508" customFormat="1" x14ac:dyDescent="0.25">
      <c r="A882" s="259" t="s">
        <v>242</v>
      </c>
      <c r="B882" s="515" t="s">
        <v>16</v>
      </c>
      <c r="C882" s="516" t="s">
        <v>29</v>
      </c>
      <c r="D882" s="291" t="s">
        <v>243</v>
      </c>
      <c r="E882" s="460"/>
      <c r="F882" s="441">
        <f t="shared" ref="F882:F887" si="264">F883</f>
        <v>18637.3</v>
      </c>
      <c r="G882" s="441"/>
      <c r="H882" s="441">
        <f t="shared" ref="H882:J887" si="265">H883</f>
        <v>21472</v>
      </c>
      <c r="I882" s="441"/>
      <c r="J882" s="441">
        <f t="shared" si="265"/>
        <v>22352</v>
      </c>
      <c r="K882" s="441"/>
      <c r="L882" s="507"/>
      <c r="N882" s="507"/>
      <c r="O882" s="507"/>
    </row>
    <row r="883" spans="1:15" s="508" customFormat="1" ht="31.5" x14ac:dyDescent="0.25">
      <c r="A883" s="275" t="s">
        <v>539</v>
      </c>
      <c r="B883" s="515" t="s">
        <v>16</v>
      </c>
      <c r="C883" s="516" t="s">
        <v>29</v>
      </c>
      <c r="D883" s="291" t="s">
        <v>244</v>
      </c>
      <c r="E883" s="460"/>
      <c r="F883" s="441">
        <f t="shared" si="264"/>
        <v>18637.3</v>
      </c>
      <c r="G883" s="441"/>
      <c r="H883" s="441">
        <f t="shared" si="265"/>
        <v>21472</v>
      </c>
      <c r="I883" s="441"/>
      <c r="J883" s="441">
        <f t="shared" si="265"/>
        <v>22352</v>
      </c>
      <c r="K883" s="441"/>
      <c r="L883" s="507"/>
      <c r="N883" s="507"/>
      <c r="O883" s="507"/>
    </row>
    <row r="884" spans="1:15" s="508" customFormat="1" ht="31.5" x14ac:dyDescent="0.25">
      <c r="A884" s="257" t="s">
        <v>540</v>
      </c>
      <c r="B884" s="515" t="s">
        <v>16</v>
      </c>
      <c r="C884" s="516" t="s">
        <v>29</v>
      </c>
      <c r="D884" s="291" t="s">
        <v>245</v>
      </c>
      <c r="E884" s="460"/>
      <c r="F884" s="441">
        <f t="shared" si="264"/>
        <v>18637.3</v>
      </c>
      <c r="G884" s="441"/>
      <c r="H884" s="441">
        <f t="shared" si="265"/>
        <v>21472</v>
      </c>
      <c r="I884" s="441"/>
      <c r="J884" s="441">
        <f t="shared" si="265"/>
        <v>22352</v>
      </c>
      <c r="K884" s="441"/>
      <c r="L884" s="507"/>
      <c r="N884" s="507"/>
      <c r="O884" s="507"/>
    </row>
    <row r="885" spans="1:15" s="508" customFormat="1" x14ac:dyDescent="0.25">
      <c r="A885" s="257" t="s">
        <v>631</v>
      </c>
      <c r="B885" s="515" t="s">
        <v>16</v>
      </c>
      <c r="C885" s="516" t="s">
        <v>29</v>
      </c>
      <c r="D885" s="156" t="s">
        <v>632</v>
      </c>
      <c r="E885" s="460"/>
      <c r="F885" s="441">
        <f t="shared" si="264"/>
        <v>18637.3</v>
      </c>
      <c r="G885" s="441"/>
      <c r="H885" s="441">
        <f t="shared" si="265"/>
        <v>21472</v>
      </c>
      <c r="I885" s="441"/>
      <c r="J885" s="441">
        <f t="shared" si="265"/>
        <v>22352</v>
      </c>
      <c r="K885" s="441"/>
      <c r="L885" s="507"/>
      <c r="N885" s="507"/>
      <c r="O885" s="507"/>
    </row>
    <row r="886" spans="1:15" s="508" customFormat="1" x14ac:dyDescent="0.25">
      <c r="A886" s="257" t="s">
        <v>722</v>
      </c>
      <c r="B886" s="515" t="s">
        <v>16</v>
      </c>
      <c r="C886" s="516" t="s">
        <v>29</v>
      </c>
      <c r="D886" s="156" t="s">
        <v>689</v>
      </c>
      <c r="E886" s="526"/>
      <c r="F886" s="441">
        <f t="shared" si="264"/>
        <v>18637.3</v>
      </c>
      <c r="G886" s="441"/>
      <c r="H886" s="441">
        <f t="shared" si="265"/>
        <v>21472</v>
      </c>
      <c r="I886" s="441"/>
      <c r="J886" s="441">
        <f t="shared" si="265"/>
        <v>22352</v>
      </c>
      <c r="K886" s="441"/>
      <c r="L886" s="507"/>
      <c r="N886" s="507"/>
      <c r="O886" s="507"/>
    </row>
    <row r="887" spans="1:15" s="508" customFormat="1" ht="31.5" x14ac:dyDescent="0.25">
      <c r="A887" s="523" t="s">
        <v>60</v>
      </c>
      <c r="B887" s="515" t="s">
        <v>16</v>
      </c>
      <c r="C887" s="516" t="s">
        <v>29</v>
      </c>
      <c r="D887" s="156" t="s">
        <v>689</v>
      </c>
      <c r="E887" s="526">
        <v>600</v>
      </c>
      <c r="F887" s="441">
        <f t="shared" si="264"/>
        <v>18637.3</v>
      </c>
      <c r="G887" s="441"/>
      <c r="H887" s="441">
        <f t="shared" si="265"/>
        <v>21472</v>
      </c>
      <c r="I887" s="441"/>
      <c r="J887" s="441">
        <f t="shared" si="265"/>
        <v>22352</v>
      </c>
      <c r="K887" s="441"/>
      <c r="L887" s="507"/>
      <c r="N887" s="507"/>
      <c r="O887" s="507"/>
    </row>
    <row r="888" spans="1:15" s="508" customFormat="1" x14ac:dyDescent="0.25">
      <c r="A888" s="523" t="s">
        <v>61</v>
      </c>
      <c r="B888" s="515" t="s">
        <v>16</v>
      </c>
      <c r="C888" s="516" t="s">
        <v>29</v>
      </c>
      <c r="D888" s="156" t="s">
        <v>689</v>
      </c>
      <c r="E888" s="526">
        <v>610</v>
      </c>
      <c r="F888" s="441">
        <f>'ведом. 2025-2027'!AD476</f>
        <v>18637.3</v>
      </c>
      <c r="G888" s="352"/>
      <c r="H888" s="441">
        <f>'ведом. 2025-2027'!AE476</f>
        <v>21472</v>
      </c>
      <c r="I888" s="441"/>
      <c r="J888" s="441">
        <f>'ведом. 2025-2027'!AF476</f>
        <v>22352</v>
      </c>
      <c r="K888" s="441"/>
      <c r="L888" s="507"/>
      <c r="N888" s="507"/>
      <c r="O888" s="507"/>
    </row>
    <row r="889" spans="1:15" s="508" customFormat="1" x14ac:dyDescent="0.25">
      <c r="A889" s="451" t="s">
        <v>759</v>
      </c>
      <c r="B889" s="453" t="s">
        <v>22</v>
      </c>
      <c r="C889" s="454"/>
      <c r="D889" s="458"/>
      <c r="E889" s="460"/>
      <c r="F889" s="441">
        <f t="shared" ref="F889:F895" si="266">F890</f>
        <v>650</v>
      </c>
      <c r="G889" s="441"/>
      <c r="H889" s="441">
        <f t="shared" ref="H889:J889" si="267">H890</f>
        <v>0</v>
      </c>
      <c r="I889" s="441"/>
      <c r="J889" s="441">
        <f t="shared" si="267"/>
        <v>0</v>
      </c>
      <c r="K889" s="441"/>
      <c r="L889" s="507"/>
      <c r="N889" s="507"/>
      <c r="O889" s="507"/>
    </row>
    <row r="890" spans="1:15" s="508" customFormat="1" x14ac:dyDescent="0.25">
      <c r="A890" s="451" t="s">
        <v>760</v>
      </c>
      <c r="B890" s="453" t="s">
        <v>22</v>
      </c>
      <c r="C890" s="454" t="s">
        <v>22</v>
      </c>
      <c r="D890" s="458"/>
      <c r="E890" s="460"/>
      <c r="F890" s="441">
        <f t="shared" si="266"/>
        <v>650</v>
      </c>
      <c r="G890" s="441"/>
      <c r="H890" s="441">
        <f t="shared" ref="H890:J890" si="268">H891</f>
        <v>0</v>
      </c>
      <c r="I890" s="441"/>
      <c r="J890" s="441">
        <f t="shared" si="268"/>
        <v>0</v>
      </c>
      <c r="K890" s="441"/>
      <c r="L890" s="507"/>
      <c r="N890" s="507"/>
      <c r="O890" s="507"/>
    </row>
    <row r="891" spans="1:15" s="508" customFormat="1" x14ac:dyDescent="0.25">
      <c r="A891" s="451" t="s">
        <v>761</v>
      </c>
      <c r="B891" s="453" t="s">
        <v>22</v>
      </c>
      <c r="C891" s="454" t="s">
        <v>22</v>
      </c>
      <c r="D891" s="458" t="s">
        <v>762</v>
      </c>
      <c r="E891" s="460"/>
      <c r="F891" s="441">
        <f t="shared" si="266"/>
        <v>650</v>
      </c>
      <c r="G891" s="441"/>
      <c r="H891" s="441">
        <f t="shared" ref="H891:J891" si="269">H892</f>
        <v>0</v>
      </c>
      <c r="I891" s="441"/>
      <c r="J891" s="441">
        <f t="shared" si="269"/>
        <v>0</v>
      </c>
      <c r="K891" s="441"/>
      <c r="L891" s="507"/>
      <c r="N891" s="507"/>
      <c r="O891" s="507"/>
    </row>
    <row r="892" spans="1:15" s="508" customFormat="1" x14ac:dyDescent="0.25">
      <c r="A892" s="451" t="s">
        <v>763</v>
      </c>
      <c r="B892" s="453" t="s">
        <v>22</v>
      </c>
      <c r="C892" s="454" t="s">
        <v>22</v>
      </c>
      <c r="D892" s="458" t="s">
        <v>764</v>
      </c>
      <c r="E892" s="460"/>
      <c r="F892" s="441">
        <f t="shared" si="266"/>
        <v>650</v>
      </c>
      <c r="G892" s="441"/>
      <c r="H892" s="441">
        <f t="shared" ref="H892:J892" si="270">H893</f>
        <v>0</v>
      </c>
      <c r="I892" s="441"/>
      <c r="J892" s="441">
        <f t="shared" si="270"/>
        <v>0</v>
      </c>
      <c r="K892" s="441"/>
      <c r="L892" s="507"/>
      <c r="N892" s="507"/>
      <c r="O892" s="507"/>
    </row>
    <row r="893" spans="1:15" s="508" customFormat="1" ht="31.5" x14ac:dyDescent="0.25">
      <c r="A893" s="451" t="s">
        <v>765</v>
      </c>
      <c r="B893" s="453" t="s">
        <v>22</v>
      </c>
      <c r="C893" s="454" t="s">
        <v>22</v>
      </c>
      <c r="D893" s="458" t="s">
        <v>766</v>
      </c>
      <c r="E893" s="460"/>
      <c r="F893" s="441">
        <f t="shared" si="266"/>
        <v>650</v>
      </c>
      <c r="G893" s="441"/>
      <c r="H893" s="441">
        <f t="shared" ref="H893:J893" si="271">H894</f>
        <v>0</v>
      </c>
      <c r="I893" s="441"/>
      <c r="J893" s="441">
        <f t="shared" si="271"/>
        <v>0</v>
      </c>
      <c r="K893" s="441"/>
      <c r="L893" s="507"/>
      <c r="N893" s="507"/>
      <c r="O893" s="507"/>
    </row>
    <row r="894" spans="1:15" s="508" customFormat="1" ht="47.25" x14ac:dyDescent="0.25">
      <c r="A894" s="451" t="s">
        <v>768</v>
      </c>
      <c r="B894" s="453" t="s">
        <v>22</v>
      </c>
      <c r="C894" s="454" t="s">
        <v>22</v>
      </c>
      <c r="D894" s="458" t="s">
        <v>767</v>
      </c>
      <c r="E894" s="460"/>
      <c r="F894" s="441">
        <f t="shared" si="266"/>
        <v>650</v>
      </c>
      <c r="G894" s="441"/>
      <c r="H894" s="441">
        <f t="shared" ref="H894:J894" si="272">H895</f>
        <v>0</v>
      </c>
      <c r="I894" s="441"/>
      <c r="J894" s="441">
        <f t="shared" si="272"/>
        <v>0</v>
      </c>
      <c r="K894" s="441"/>
      <c r="L894" s="507"/>
      <c r="N894" s="507"/>
      <c r="O894" s="507"/>
    </row>
    <row r="895" spans="1:15" s="508" customFormat="1" x14ac:dyDescent="0.25">
      <c r="A895" s="479" t="s">
        <v>97</v>
      </c>
      <c r="B895" s="453" t="s">
        <v>22</v>
      </c>
      <c r="C895" s="454" t="s">
        <v>22</v>
      </c>
      <c r="D895" s="458" t="s">
        <v>767</v>
      </c>
      <c r="E895" s="454">
        <v>300</v>
      </c>
      <c r="F895" s="441">
        <f t="shared" si="266"/>
        <v>650</v>
      </c>
      <c r="G895" s="441"/>
      <c r="H895" s="441">
        <f t="shared" ref="H895:J895" si="273">H896</f>
        <v>0</v>
      </c>
      <c r="I895" s="441"/>
      <c r="J895" s="441">
        <f t="shared" si="273"/>
        <v>0</v>
      </c>
      <c r="K895" s="441"/>
      <c r="L895" s="507"/>
      <c r="N895" s="507"/>
      <c r="O895" s="507"/>
    </row>
    <row r="896" spans="1:15" s="508" customFormat="1" x14ac:dyDescent="0.25">
      <c r="A896" s="479" t="s">
        <v>40</v>
      </c>
      <c r="B896" s="453" t="s">
        <v>22</v>
      </c>
      <c r="C896" s="454" t="s">
        <v>22</v>
      </c>
      <c r="D896" s="458" t="s">
        <v>767</v>
      </c>
      <c r="E896" s="454">
        <v>320</v>
      </c>
      <c r="F896" s="441">
        <f>'ведом. 2025-2027'!AD484</f>
        <v>650</v>
      </c>
      <c r="G896" s="352"/>
      <c r="H896" s="441">
        <f>'ведом. 2025-2027'!AE484</f>
        <v>0</v>
      </c>
      <c r="I896" s="441"/>
      <c r="J896" s="441">
        <f>'ведом. 2025-2027'!AF484</f>
        <v>0</v>
      </c>
      <c r="K896" s="441"/>
      <c r="L896" s="507"/>
      <c r="N896" s="507"/>
      <c r="O896" s="507"/>
    </row>
    <row r="897" spans="1:15" s="138" customFormat="1" x14ac:dyDescent="0.25">
      <c r="A897" s="384" t="s">
        <v>94</v>
      </c>
      <c r="B897" s="193" t="s">
        <v>36</v>
      </c>
      <c r="C897" s="183"/>
      <c r="D897" s="280"/>
      <c r="E897" s="330"/>
      <c r="F897" s="161">
        <f t="shared" ref="F897:K897" si="274">F898+F916+F943+F905</f>
        <v>55344.3</v>
      </c>
      <c r="G897" s="347">
        <f t="shared" si="274"/>
        <v>38275</v>
      </c>
      <c r="H897" s="161">
        <f t="shared" si="274"/>
        <v>56773.4</v>
      </c>
      <c r="I897" s="161">
        <f>I898+I916+I943+I905</f>
        <v>34322.199999999997</v>
      </c>
      <c r="J897" s="161">
        <f t="shared" si="274"/>
        <v>54173.5</v>
      </c>
      <c r="K897" s="161">
        <f t="shared" si="274"/>
        <v>31601</v>
      </c>
      <c r="L897" s="154"/>
      <c r="N897" s="154"/>
      <c r="O897" s="154"/>
    </row>
    <row r="898" spans="1:15" s="138" customFormat="1" x14ac:dyDescent="0.25">
      <c r="A898" s="375" t="s">
        <v>55</v>
      </c>
      <c r="B898" s="191">
        <v>10</v>
      </c>
      <c r="C898" s="4" t="s">
        <v>29</v>
      </c>
      <c r="D898" s="26"/>
      <c r="E898" s="337"/>
      <c r="F898" s="159">
        <f>F899</f>
        <v>9007</v>
      </c>
      <c r="G898" s="306"/>
      <c r="H898" s="522">
        <f>H899</f>
        <v>9007</v>
      </c>
      <c r="I898" s="522"/>
      <c r="J898" s="522">
        <f>J899</f>
        <v>9007</v>
      </c>
      <c r="K898" s="522"/>
      <c r="L898" s="154"/>
      <c r="N898" s="154"/>
      <c r="O898" s="154"/>
    </row>
    <row r="899" spans="1:15" s="138" customFormat="1" x14ac:dyDescent="0.25">
      <c r="A899" s="255" t="s">
        <v>292</v>
      </c>
      <c r="B899" s="191">
        <v>10</v>
      </c>
      <c r="C899" s="4" t="s">
        <v>29</v>
      </c>
      <c r="D899" s="156" t="s">
        <v>109</v>
      </c>
      <c r="E899" s="337"/>
      <c r="F899" s="159">
        <f>F901</f>
        <v>9007</v>
      </c>
      <c r="G899" s="306"/>
      <c r="H899" s="522">
        <f>H901</f>
        <v>9007</v>
      </c>
      <c r="I899" s="522"/>
      <c r="J899" s="522">
        <f>J901</f>
        <v>9007</v>
      </c>
      <c r="K899" s="522"/>
      <c r="L899" s="154"/>
      <c r="N899" s="154"/>
      <c r="O899" s="154"/>
    </row>
    <row r="900" spans="1:15" s="177" customFormat="1" x14ac:dyDescent="0.25">
      <c r="A900" s="275" t="s">
        <v>293</v>
      </c>
      <c r="B900" s="191">
        <v>10</v>
      </c>
      <c r="C900" s="4" t="s">
        <v>29</v>
      </c>
      <c r="D900" s="156" t="s">
        <v>118</v>
      </c>
      <c r="E900" s="337"/>
      <c r="F900" s="159">
        <f>F901</f>
        <v>9007</v>
      </c>
      <c r="G900" s="306"/>
      <c r="H900" s="522">
        <f>H901</f>
        <v>9007</v>
      </c>
      <c r="I900" s="522"/>
      <c r="J900" s="522">
        <f>J901</f>
        <v>9007</v>
      </c>
      <c r="K900" s="522"/>
      <c r="L900" s="154"/>
      <c r="N900" s="154"/>
      <c r="O900" s="154"/>
    </row>
    <row r="901" spans="1:15" s="138" customFormat="1" ht="31.5" x14ac:dyDescent="0.25">
      <c r="A901" s="259" t="s">
        <v>465</v>
      </c>
      <c r="B901" s="191">
        <v>10</v>
      </c>
      <c r="C901" s="4" t="s">
        <v>29</v>
      </c>
      <c r="D901" s="156" t="s">
        <v>464</v>
      </c>
      <c r="E901" s="337"/>
      <c r="F901" s="159">
        <f>F904</f>
        <v>9007</v>
      </c>
      <c r="G901" s="306"/>
      <c r="H901" s="522">
        <f>H904</f>
        <v>9007</v>
      </c>
      <c r="I901" s="522"/>
      <c r="J901" s="522">
        <f>J904</f>
        <v>9007</v>
      </c>
      <c r="K901" s="522"/>
      <c r="L901" s="154"/>
      <c r="N901" s="154"/>
      <c r="O901" s="154"/>
    </row>
    <row r="902" spans="1:15" s="138" customFormat="1" ht="31.5" x14ac:dyDescent="0.25">
      <c r="A902" s="257" t="s">
        <v>295</v>
      </c>
      <c r="B902" s="191">
        <v>10</v>
      </c>
      <c r="C902" s="4" t="s">
        <v>29</v>
      </c>
      <c r="D902" s="156" t="s">
        <v>463</v>
      </c>
      <c r="E902" s="337"/>
      <c r="F902" s="159">
        <f>F903</f>
        <v>9007</v>
      </c>
      <c r="G902" s="306"/>
      <c r="H902" s="522">
        <f>H903</f>
        <v>9007</v>
      </c>
      <c r="I902" s="522"/>
      <c r="J902" s="522">
        <f>J903</f>
        <v>9007</v>
      </c>
      <c r="K902" s="522"/>
      <c r="L902" s="154"/>
      <c r="N902" s="154"/>
      <c r="O902" s="154"/>
    </row>
    <row r="903" spans="1:15" s="138" customFormat="1" x14ac:dyDescent="0.25">
      <c r="A903" s="375" t="s">
        <v>97</v>
      </c>
      <c r="B903" s="191">
        <v>10</v>
      </c>
      <c r="C903" s="4" t="s">
        <v>29</v>
      </c>
      <c r="D903" s="156" t="s">
        <v>463</v>
      </c>
      <c r="E903" s="326">
        <v>300</v>
      </c>
      <c r="F903" s="159">
        <f>F904</f>
        <v>9007</v>
      </c>
      <c r="G903" s="306"/>
      <c r="H903" s="522">
        <f>H904</f>
        <v>9007</v>
      </c>
      <c r="I903" s="522"/>
      <c r="J903" s="522">
        <f>J904</f>
        <v>9007</v>
      </c>
      <c r="K903" s="522"/>
      <c r="L903" s="154"/>
      <c r="N903" s="154"/>
      <c r="O903" s="154"/>
    </row>
    <row r="904" spans="1:15" s="138" customFormat="1" x14ac:dyDescent="0.25">
      <c r="A904" s="375" t="s">
        <v>40</v>
      </c>
      <c r="B904" s="191">
        <v>10</v>
      </c>
      <c r="C904" s="4" t="s">
        <v>29</v>
      </c>
      <c r="D904" s="156" t="s">
        <v>463</v>
      </c>
      <c r="E904" s="326">
        <v>320</v>
      </c>
      <c r="F904" s="159">
        <f>'ведом. 2025-2027'!AD492+'ведом. 2025-2027'!AD574+'ведом. 2025-2027'!AD608+'ведом. 2025-2027'!AD656+'ведом. 2025-2027'!AD845+'ведом. 2025-2027'!AD1068+'ведом. 2025-2027'!AD1124</f>
        <v>9007</v>
      </c>
      <c r="G904" s="306"/>
      <c r="H904" s="522">
        <f>'ведом. 2025-2027'!AE1124+'ведом. 2025-2027'!AE1068+'ведом. 2025-2027'!AE845+'ведом. 2025-2027'!AE656+'ведом. 2025-2027'!AE608+'ведом. 2025-2027'!AE574+'ведом. 2025-2027'!AE492</f>
        <v>9007</v>
      </c>
      <c r="I904" s="522"/>
      <c r="J904" s="522">
        <f>'ведом. 2025-2027'!AF492+'ведом. 2025-2027'!AF574+'ведом. 2025-2027'!AF608+'ведом. 2025-2027'!AF656+'ведом. 2025-2027'!AF845+'ведом. 2025-2027'!AF1068+'ведом. 2025-2027'!AF1124</f>
        <v>9007</v>
      </c>
      <c r="K904" s="522"/>
      <c r="L904" s="154"/>
      <c r="N904" s="154"/>
      <c r="O904" s="154"/>
    </row>
    <row r="905" spans="1:15" s="177" customFormat="1" x14ac:dyDescent="0.25">
      <c r="A905" s="253" t="s">
        <v>58</v>
      </c>
      <c r="B905" s="191">
        <v>10</v>
      </c>
      <c r="C905" s="4" t="s">
        <v>7</v>
      </c>
      <c r="D905" s="156"/>
      <c r="E905" s="326"/>
      <c r="F905" s="159">
        <f>F907+F912</f>
        <v>331</v>
      </c>
      <c r="G905" s="522"/>
      <c r="H905" s="522">
        <f t="shared" ref="H905:J905" si="275">H907+H912</f>
        <v>2990</v>
      </c>
      <c r="I905" s="522">
        <f t="shared" si="275"/>
        <v>2990</v>
      </c>
      <c r="J905" s="522">
        <f t="shared" si="275"/>
        <v>0</v>
      </c>
      <c r="K905" s="522"/>
      <c r="L905" s="154"/>
      <c r="N905" s="154"/>
      <c r="O905" s="154"/>
    </row>
    <row r="906" spans="1:15" s="519" customFormat="1" x14ac:dyDescent="0.25">
      <c r="A906" s="457" t="s">
        <v>181</v>
      </c>
      <c r="B906" s="453">
        <v>10</v>
      </c>
      <c r="C906" s="454" t="s">
        <v>7</v>
      </c>
      <c r="D906" s="458" t="s">
        <v>116</v>
      </c>
      <c r="E906" s="326"/>
      <c r="F906" s="522">
        <f>F907</f>
        <v>0</v>
      </c>
      <c r="G906" s="522"/>
      <c r="H906" s="522">
        <f t="shared" ref="H906:J906" si="276">H907</f>
        <v>2990</v>
      </c>
      <c r="I906" s="522">
        <f t="shared" si="276"/>
        <v>2990</v>
      </c>
      <c r="J906" s="522">
        <f t="shared" si="276"/>
        <v>0</v>
      </c>
      <c r="K906" s="522"/>
      <c r="L906" s="521"/>
      <c r="N906" s="521"/>
      <c r="O906" s="521"/>
    </row>
    <row r="907" spans="1:15" s="519" customFormat="1" ht="31.5" x14ac:dyDescent="0.25">
      <c r="A907" s="451" t="s">
        <v>670</v>
      </c>
      <c r="B907" s="453">
        <v>10</v>
      </c>
      <c r="C907" s="454" t="s">
        <v>7</v>
      </c>
      <c r="D907" s="458" t="s">
        <v>671</v>
      </c>
      <c r="E907" s="460"/>
      <c r="F907" s="522">
        <f>F908</f>
        <v>0</v>
      </c>
      <c r="G907" s="522"/>
      <c r="H907" s="522">
        <f t="shared" ref="H907:J910" si="277">H908</f>
        <v>2990</v>
      </c>
      <c r="I907" s="522">
        <f t="shared" si="277"/>
        <v>2990</v>
      </c>
      <c r="J907" s="522">
        <f t="shared" si="277"/>
        <v>0</v>
      </c>
      <c r="K907" s="522"/>
      <c r="L907" s="521"/>
      <c r="N907" s="521"/>
      <c r="O907" s="521"/>
    </row>
    <row r="908" spans="1:15" s="519" customFormat="1" ht="47.25" x14ac:dyDescent="0.25">
      <c r="A908" s="451" t="s">
        <v>673</v>
      </c>
      <c r="B908" s="453">
        <v>10</v>
      </c>
      <c r="C908" s="454" t="s">
        <v>7</v>
      </c>
      <c r="D908" s="458" t="s">
        <v>672</v>
      </c>
      <c r="E908" s="460"/>
      <c r="F908" s="522">
        <f>F909</f>
        <v>0</v>
      </c>
      <c r="G908" s="522"/>
      <c r="H908" s="522">
        <f t="shared" si="277"/>
        <v>2990</v>
      </c>
      <c r="I908" s="522">
        <f t="shared" si="277"/>
        <v>2990</v>
      </c>
      <c r="J908" s="522">
        <f t="shared" si="277"/>
        <v>0</v>
      </c>
      <c r="K908" s="522"/>
      <c r="L908" s="521"/>
      <c r="N908" s="521"/>
      <c r="O908" s="521"/>
    </row>
    <row r="909" spans="1:15" s="519" customFormat="1" ht="47.25" x14ac:dyDescent="0.25">
      <c r="A909" s="451" t="s">
        <v>675</v>
      </c>
      <c r="B909" s="453">
        <v>10</v>
      </c>
      <c r="C909" s="454" t="s">
        <v>7</v>
      </c>
      <c r="D909" s="458" t="s">
        <v>674</v>
      </c>
      <c r="E909" s="460"/>
      <c r="F909" s="522">
        <f>F910</f>
        <v>0</v>
      </c>
      <c r="G909" s="522"/>
      <c r="H909" s="522">
        <f t="shared" si="277"/>
        <v>2990</v>
      </c>
      <c r="I909" s="522">
        <f t="shared" si="277"/>
        <v>2990</v>
      </c>
      <c r="J909" s="522">
        <f t="shared" si="277"/>
        <v>0</v>
      </c>
      <c r="K909" s="522"/>
      <c r="L909" s="521"/>
      <c r="N909" s="521"/>
      <c r="O909" s="521"/>
    </row>
    <row r="910" spans="1:15" s="519" customFormat="1" x14ac:dyDescent="0.25">
      <c r="A910" s="451" t="s">
        <v>97</v>
      </c>
      <c r="B910" s="453">
        <v>10</v>
      </c>
      <c r="C910" s="454" t="s">
        <v>7</v>
      </c>
      <c r="D910" s="458" t="s">
        <v>674</v>
      </c>
      <c r="E910" s="460">
        <v>300</v>
      </c>
      <c r="F910" s="522">
        <f>F911</f>
        <v>0</v>
      </c>
      <c r="G910" s="522"/>
      <c r="H910" s="522">
        <f t="shared" si="277"/>
        <v>2990</v>
      </c>
      <c r="I910" s="522">
        <f t="shared" si="277"/>
        <v>2990</v>
      </c>
      <c r="J910" s="522">
        <f t="shared" si="277"/>
        <v>0</v>
      </c>
      <c r="K910" s="522"/>
      <c r="L910" s="521"/>
      <c r="N910" s="521"/>
      <c r="O910" s="521"/>
    </row>
    <row r="911" spans="1:15" s="519" customFormat="1" x14ac:dyDescent="0.25">
      <c r="A911" s="451" t="s">
        <v>40</v>
      </c>
      <c r="B911" s="453">
        <v>10</v>
      </c>
      <c r="C911" s="454" t="s">
        <v>7</v>
      </c>
      <c r="D911" s="458" t="s">
        <v>674</v>
      </c>
      <c r="E911" s="460">
        <v>320</v>
      </c>
      <c r="F911" s="522">
        <f>'ведом. 2025-2027'!AD1075</f>
        <v>0</v>
      </c>
      <c r="G911" s="522"/>
      <c r="H911" s="522">
        <f>'ведом. 2025-2027'!AE1075</f>
        <v>2990</v>
      </c>
      <c r="I911" s="522">
        <v>2990</v>
      </c>
      <c r="J911" s="522">
        <f>'ведом. 2025-2027'!AF1075</f>
        <v>0</v>
      </c>
      <c r="K911" s="522"/>
      <c r="L911" s="521"/>
      <c r="N911" s="521"/>
      <c r="O911" s="521"/>
    </row>
    <row r="912" spans="1:15" s="177" customFormat="1" x14ac:dyDescent="0.25">
      <c r="A912" s="422" t="s">
        <v>332</v>
      </c>
      <c r="B912" s="1">
        <v>10</v>
      </c>
      <c r="C912" s="1" t="s">
        <v>7</v>
      </c>
      <c r="D912" s="427" t="s">
        <v>137</v>
      </c>
      <c r="E912" s="428"/>
      <c r="F912" s="159">
        <f>F913</f>
        <v>331</v>
      </c>
      <c r="G912" s="159"/>
      <c r="H912" s="522">
        <f t="shared" ref="H912:J914" si="278">H913</f>
        <v>0</v>
      </c>
      <c r="I912" s="522"/>
      <c r="J912" s="522">
        <f t="shared" si="278"/>
        <v>0</v>
      </c>
      <c r="K912" s="522"/>
      <c r="L912" s="154"/>
      <c r="N912" s="154"/>
      <c r="O912" s="154"/>
    </row>
    <row r="913" spans="1:15" s="177" customFormat="1" x14ac:dyDescent="0.25">
      <c r="A913" s="426" t="s">
        <v>612</v>
      </c>
      <c r="B913" s="1">
        <v>10</v>
      </c>
      <c r="C913" s="1" t="s">
        <v>7</v>
      </c>
      <c r="D913" s="409" t="s">
        <v>611</v>
      </c>
      <c r="E913" s="428"/>
      <c r="F913" s="159">
        <f>F914</f>
        <v>331</v>
      </c>
      <c r="G913" s="159"/>
      <c r="H913" s="522">
        <f t="shared" si="278"/>
        <v>0</v>
      </c>
      <c r="I913" s="522"/>
      <c r="J913" s="522">
        <f t="shared" si="278"/>
        <v>0</v>
      </c>
      <c r="K913" s="522"/>
      <c r="L913" s="154"/>
      <c r="N913" s="154"/>
      <c r="O913" s="154"/>
    </row>
    <row r="914" spans="1:15" s="177" customFormat="1" x14ac:dyDescent="0.25">
      <c r="A914" s="422" t="s">
        <v>97</v>
      </c>
      <c r="B914" s="1">
        <v>10</v>
      </c>
      <c r="C914" s="1" t="s">
        <v>7</v>
      </c>
      <c r="D914" s="409" t="s">
        <v>611</v>
      </c>
      <c r="E914" s="4">
        <v>300</v>
      </c>
      <c r="F914" s="159">
        <f>F915</f>
        <v>331</v>
      </c>
      <c r="G914" s="159"/>
      <c r="H914" s="522">
        <f t="shared" si="278"/>
        <v>0</v>
      </c>
      <c r="I914" s="522"/>
      <c r="J914" s="522">
        <f t="shared" si="278"/>
        <v>0</v>
      </c>
      <c r="K914" s="522"/>
      <c r="L914" s="154"/>
      <c r="N914" s="154"/>
      <c r="O914" s="154"/>
    </row>
    <row r="915" spans="1:15" s="177" customFormat="1" x14ac:dyDescent="0.25">
      <c r="A915" s="375" t="s">
        <v>131</v>
      </c>
      <c r="B915" s="1">
        <v>10</v>
      </c>
      <c r="C915" s="1" t="s">
        <v>7</v>
      </c>
      <c r="D915" s="409" t="s">
        <v>611</v>
      </c>
      <c r="E915" s="4">
        <v>310</v>
      </c>
      <c r="F915" s="159">
        <f>'ведом. 2025-2027'!AD497</f>
        <v>331</v>
      </c>
      <c r="G915" s="306"/>
      <c r="H915" s="522">
        <f>'ведом. 2025-2027'!AE497</f>
        <v>0</v>
      </c>
      <c r="I915" s="522"/>
      <c r="J915" s="522">
        <f>'ведом. 2025-2027'!AF497</f>
        <v>0</v>
      </c>
      <c r="K915" s="522"/>
      <c r="L915" s="154"/>
      <c r="N915" s="154"/>
      <c r="O915" s="154"/>
    </row>
    <row r="916" spans="1:15" s="138" customFormat="1" x14ac:dyDescent="0.25">
      <c r="A916" s="375" t="s">
        <v>31</v>
      </c>
      <c r="B916" s="191">
        <v>10</v>
      </c>
      <c r="C916" s="4" t="s">
        <v>49</v>
      </c>
      <c r="D916" s="26"/>
      <c r="E916" s="326"/>
      <c r="F916" s="159">
        <f t="shared" ref="F916:K916" si="279">F917+F929</f>
        <v>45866.3</v>
      </c>
      <c r="G916" s="306">
        <f t="shared" si="279"/>
        <v>38275</v>
      </c>
      <c r="H916" s="522">
        <f t="shared" si="279"/>
        <v>44636.4</v>
      </c>
      <c r="I916" s="522">
        <f t="shared" si="279"/>
        <v>31332.2</v>
      </c>
      <c r="J916" s="522">
        <f t="shared" si="279"/>
        <v>45026.5</v>
      </c>
      <c r="K916" s="522">
        <f t="shared" si="279"/>
        <v>31601</v>
      </c>
      <c r="L916" s="154"/>
      <c r="N916" s="154"/>
      <c r="O916" s="154"/>
    </row>
    <row r="917" spans="1:15" s="138" customFormat="1" x14ac:dyDescent="0.25">
      <c r="A917" s="385" t="s">
        <v>262</v>
      </c>
      <c r="B917" s="191">
        <v>10</v>
      </c>
      <c r="C917" s="4" t="s">
        <v>49</v>
      </c>
      <c r="D917" s="26" t="s">
        <v>100</v>
      </c>
      <c r="E917" s="326"/>
      <c r="F917" s="159">
        <f t="shared" ref="F917:K917" si="280">F918</f>
        <v>14906</v>
      </c>
      <c r="G917" s="306">
        <f t="shared" si="280"/>
        <v>14906</v>
      </c>
      <c r="H917" s="522">
        <f t="shared" si="280"/>
        <v>14906</v>
      </c>
      <c r="I917" s="522">
        <f t="shared" si="280"/>
        <v>14906</v>
      </c>
      <c r="J917" s="522">
        <f t="shared" si="280"/>
        <v>14906</v>
      </c>
      <c r="K917" s="522">
        <f t="shared" si="280"/>
        <v>14906</v>
      </c>
      <c r="L917" s="154"/>
      <c r="N917" s="154"/>
      <c r="O917" s="154"/>
    </row>
    <row r="918" spans="1:15" s="138" customFormat="1" x14ac:dyDescent="0.25">
      <c r="A918" s="255" t="s">
        <v>445</v>
      </c>
      <c r="B918" s="191">
        <v>10</v>
      </c>
      <c r="C918" s="4" t="s">
        <v>49</v>
      </c>
      <c r="D918" s="26" t="s">
        <v>117</v>
      </c>
      <c r="E918" s="326"/>
      <c r="F918" s="159">
        <f t="shared" ref="F918:K919" si="281">F919</f>
        <v>14906</v>
      </c>
      <c r="G918" s="306">
        <f t="shared" si="281"/>
        <v>14906</v>
      </c>
      <c r="H918" s="522">
        <f t="shared" si="281"/>
        <v>14906</v>
      </c>
      <c r="I918" s="522">
        <f>I919</f>
        <v>14906</v>
      </c>
      <c r="J918" s="522">
        <f t="shared" si="281"/>
        <v>14906</v>
      </c>
      <c r="K918" s="522">
        <f t="shared" si="281"/>
        <v>14906</v>
      </c>
      <c r="L918" s="154"/>
      <c r="N918" s="154"/>
      <c r="O918" s="154"/>
    </row>
    <row r="919" spans="1:15" s="138" customFormat="1" ht="31.5" x14ac:dyDescent="0.25">
      <c r="A919" s="255" t="s">
        <v>266</v>
      </c>
      <c r="B919" s="191">
        <v>10</v>
      </c>
      <c r="C919" s="4" t="s">
        <v>49</v>
      </c>
      <c r="D919" s="156" t="s">
        <v>446</v>
      </c>
      <c r="E919" s="326"/>
      <c r="F919" s="159">
        <f t="shared" si="281"/>
        <v>14906</v>
      </c>
      <c r="G919" s="306">
        <f t="shared" si="281"/>
        <v>14906</v>
      </c>
      <c r="H919" s="522">
        <f t="shared" si="281"/>
        <v>14906</v>
      </c>
      <c r="I919" s="522">
        <f t="shared" si="281"/>
        <v>14906</v>
      </c>
      <c r="J919" s="522">
        <f t="shared" si="281"/>
        <v>14906</v>
      </c>
      <c r="K919" s="522">
        <f t="shared" si="281"/>
        <v>14906</v>
      </c>
      <c r="L919" s="154"/>
      <c r="N919" s="154"/>
      <c r="O919" s="154"/>
    </row>
    <row r="920" spans="1:15" s="138" customFormat="1" ht="47.25" x14ac:dyDescent="0.25">
      <c r="A920" s="256" t="s">
        <v>263</v>
      </c>
      <c r="B920" s="191">
        <v>10</v>
      </c>
      <c r="C920" s="4" t="s">
        <v>49</v>
      </c>
      <c r="D920" s="156" t="s">
        <v>466</v>
      </c>
      <c r="E920" s="326"/>
      <c r="F920" s="159">
        <f>F925+F923+F927+F921</f>
        <v>14906</v>
      </c>
      <c r="G920" s="522">
        <f t="shared" ref="G920:K920" si="282">G925+G923+G927+G921</f>
        <v>14906</v>
      </c>
      <c r="H920" s="522">
        <f t="shared" si="282"/>
        <v>14906</v>
      </c>
      <c r="I920" s="522">
        <f t="shared" si="282"/>
        <v>14906</v>
      </c>
      <c r="J920" s="522">
        <f t="shared" si="282"/>
        <v>14906</v>
      </c>
      <c r="K920" s="522">
        <f t="shared" si="282"/>
        <v>14906</v>
      </c>
      <c r="L920" s="154"/>
      <c r="N920" s="154"/>
      <c r="O920" s="154"/>
    </row>
    <row r="921" spans="1:15" s="519" customFormat="1" ht="47.25" x14ac:dyDescent="0.25">
      <c r="A921" s="451" t="s">
        <v>41</v>
      </c>
      <c r="B921" s="191">
        <v>10</v>
      </c>
      <c r="C921" s="516" t="s">
        <v>49</v>
      </c>
      <c r="D921" s="156" t="s">
        <v>466</v>
      </c>
      <c r="E921" s="326">
        <v>100</v>
      </c>
      <c r="F921" s="522">
        <f>F922</f>
        <v>536.1</v>
      </c>
      <c r="G921" s="522">
        <f t="shared" ref="G921:K921" si="283">G922</f>
        <v>536.1</v>
      </c>
      <c r="H921" s="522">
        <f t="shared" si="283"/>
        <v>826</v>
      </c>
      <c r="I921" s="522">
        <f t="shared" si="283"/>
        <v>826</v>
      </c>
      <c r="J921" s="522">
        <f t="shared" si="283"/>
        <v>826</v>
      </c>
      <c r="K921" s="522">
        <f t="shared" si="283"/>
        <v>826</v>
      </c>
      <c r="L921" s="521"/>
      <c r="N921" s="521"/>
      <c r="O921" s="521"/>
    </row>
    <row r="922" spans="1:15" s="519" customFormat="1" x14ac:dyDescent="0.25">
      <c r="A922" s="451" t="s">
        <v>68</v>
      </c>
      <c r="B922" s="191">
        <v>10</v>
      </c>
      <c r="C922" s="516" t="s">
        <v>49</v>
      </c>
      <c r="D922" s="156" t="s">
        <v>466</v>
      </c>
      <c r="E922" s="326">
        <v>110</v>
      </c>
      <c r="F922" s="522">
        <f>'ведом. 2025-2027'!AD504</f>
        <v>536.1</v>
      </c>
      <c r="G922" s="524">
        <f>F922</f>
        <v>536.1</v>
      </c>
      <c r="H922" s="522">
        <f>'ведом. 2025-2027'!AE504</f>
        <v>826</v>
      </c>
      <c r="I922" s="522">
        <f>H922</f>
        <v>826</v>
      </c>
      <c r="J922" s="522">
        <f>'ведом. 2025-2027'!AF504</f>
        <v>826</v>
      </c>
      <c r="K922" s="522">
        <f>J922</f>
        <v>826</v>
      </c>
      <c r="L922" s="521"/>
      <c r="N922" s="521"/>
      <c r="O922" s="521"/>
    </row>
    <row r="923" spans="1:15" s="138" customFormat="1" x14ac:dyDescent="0.25">
      <c r="A923" s="375" t="s">
        <v>120</v>
      </c>
      <c r="B923" s="191">
        <v>10</v>
      </c>
      <c r="C923" s="4" t="s">
        <v>49</v>
      </c>
      <c r="D923" s="156" t="s">
        <v>466</v>
      </c>
      <c r="E923" s="326">
        <v>200</v>
      </c>
      <c r="F923" s="159">
        <f t="shared" ref="F923:K923" si="284">F924</f>
        <v>139</v>
      </c>
      <c r="G923" s="306">
        <f t="shared" si="284"/>
        <v>139</v>
      </c>
      <c r="H923" s="522">
        <f t="shared" si="284"/>
        <v>139</v>
      </c>
      <c r="I923" s="522">
        <f t="shared" si="284"/>
        <v>139</v>
      </c>
      <c r="J923" s="522">
        <f t="shared" si="284"/>
        <v>139</v>
      </c>
      <c r="K923" s="522">
        <f t="shared" si="284"/>
        <v>139</v>
      </c>
      <c r="L923" s="154"/>
      <c r="N923" s="154"/>
      <c r="O923" s="154"/>
    </row>
    <row r="924" spans="1:15" s="138" customFormat="1" ht="31.5" x14ac:dyDescent="0.25">
      <c r="A924" s="375" t="s">
        <v>52</v>
      </c>
      <c r="B924" s="191">
        <v>10</v>
      </c>
      <c r="C924" s="4" t="s">
        <v>49</v>
      </c>
      <c r="D924" s="156" t="s">
        <v>466</v>
      </c>
      <c r="E924" s="326">
        <v>240</v>
      </c>
      <c r="F924" s="159">
        <f>'ведом. 2025-2027'!AD852</f>
        <v>139</v>
      </c>
      <c r="G924" s="306">
        <f>F924</f>
        <v>139</v>
      </c>
      <c r="H924" s="522">
        <f>'ведом. 2025-2027'!AE852</f>
        <v>139</v>
      </c>
      <c r="I924" s="522">
        <f>H924</f>
        <v>139</v>
      </c>
      <c r="J924" s="522">
        <f>'ведом. 2025-2027'!AF852</f>
        <v>139</v>
      </c>
      <c r="K924" s="522">
        <f>J924</f>
        <v>139</v>
      </c>
      <c r="L924" s="154"/>
      <c r="N924" s="154"/>
      <c r="O924" s="154"/>
    </row>
    <row r="925" spans="1:15" s="138" customFormat="1" x14ac:dyDescent="0.25">
      <c r="A925" s="375" t="s">
        <v>97</v>
      </c>
      <c r="B925" s="191">
        <v>10</v>
      </c>
      <c r="C925" s="4" t="s">
        <v>49</v>
      </c>
      <c r="D925" s="156" t="s">
        <v>466</v>
      </c>
      <c r="E925" s="326">
        <v>300</v>
      </c>
      <c r="F925" s="159">
        <f t="shared" ref="F925:K925" si="285">F926</f>
        <v>13941</v>
      </c>
      <c r="G925" s="306">
        <f t="shared" si="285"/>
        <v>13941</v>
      </c>
      <c r="H925" s="522">
        <f t="shared" si="285"/>
        <v>13941</v>
      </c>
      <c r="I925" s="522">
        <f t="shared" si="285"/>
        <v>13941</v>
      </c>
      <c r="J925" s="522">
        <f t="shared" si="285"/>
        <v>13941</v>
      </c>
      <c r="K925" s="522">
        <f t="shared" si="285"/>
        <v>13941</v>
      </c>
      <c r="L925" s="154"/>
      <c r="N925" s="154"/>
      <c r="O925" s="154"/>
    </row>
    <row r="926" spans="1:15" s="138" customFormat="1" x14ac:dyDescent="0.25">
      <c r="A926" s="375" t="s">
        <v>131</v>
      </c>
      <c r="B926" s="191">
        <v>10</v>
      </c>
      <c r="C926" s="4" t="s">
        <v>49</v>
      </c>
      <c r="D926" s="156" t="s">
        <v>466</v>
      </c>
      <c r="E926" s="326">
        <v>310</v>
      </c>
      <c r="F926" s="159">
        <f>'ведом. 2025-2027'!AD854</f>
        <v>13941</v>
      </c>
      <c r="G926" s="306">
        <f>F926</f>
        <v>13941</v>
      </c>
      <c r="H926" s="522">
        <f>'ведом. 2025-2027'!AE854</f>
        <v>13941</v>
      </c>
      <c r="I926" s="522">
        <f>H926</f>
        <v>13941</v>
      </c>
      <c r="J926" s="522">
        <f>'ведом. 2025-2027'!AF854</f>
        <v>13941</v>
      </c>
      <c r="K926" s="522">
        <f>J926</f>
        <v>13941</v>
      </c>
      <c r="L926" s="154"/>
      <c r="N926" s="154"/>
      <c r="O926" s="154"/>
    </row>
    <row r="927" spans="1:15" s="177" customFormat="1" ht="31.5" x14ac:dyDescent="0.25">
      <c r="A927" s="253" t="s">
        <v>60</v>
      </c>
      <c r="B927" s="191">
        <v>10</v>
      </c>
      <c r="C927" s="4" t="s">
        <v>49</v>
      </c>
      <c r="D927" s="156" t="s">
        <v>466</v>
      </c>
      <c r="E927" s="326">
        <v>600</v>
      </c>
      <c r="F927" s="159">
        <f t="shared" ref="F927:K927" si="286">F928</f>
        <v>289.89999999999998</v>
      </c>
      <c r="G927" s="306">
        <f t="shared" si="286"/>
        <v>289.89999999999998</v>
      </c>
      <c r="H927" s="522">
        <f t="shared" si="286"/>
        <v>0</v>
      </c>
      <c r="I927" s="522">
        <f t="shared" si="286"/>
        <v>0</v>
      </c>
      <c r="J927" s="522">
        <f t="shared" si="286"/>
        <v>0</v>
      </c>
      <c r="K927" s="522">
        <f t="shared" si="286"/>
        <v>0</v>
      </c>
      <c r="L927" s="154"/>
      <c r="N927" s="154"/>
      <c r="O927" s="154"/>
    </row>
    <row r="928" spans="1:15" s="177" customFormat="1" x14ac:dyDescent="0.25">
      <c r="A928" s="253" t="s">
        <v>61</v>
      </c>
      <c r="B928" s="191">
        <v>10</v>
      </c>
      <c r="C928" s="4" t="s">
        <v>49</v>
      </c>
      <c r="D928" s="156" t="s">
        <v>466</v>
      </c>
      <c r="E928" s="326">
        <v>610</v>
      </c>
      <c r="F928" s="159">
        <f>'ведом. 2025-2027'!AD856</f>
        <v>289.89999999999998</v>
      </c>
      <c r="G928" s="306">
        <f>F928</f>
        <v>289.89999999999998</v>
      </c>
      <c r="H928" s="522">
        <f>'ведом. 2025-2027'!AE856</f>
        <v>0</v>
      </c>
      <c r="I928" s="522">
        <f>H928</f>
        <v>0</v>
      </c>
      <c r="J928" s="522">
        <f>'ведом. 2025-2027'!AF856</f>
        <v>0</v>
      </c>
      <c r="K928" s="522">
        <f>J928</f>
        <v>0</v>
      </c>
      <c r="L928" s="154"/>
      <c r="N928" s="154"/>
      <c r="O928" s="154"/>
    </row>
    <row r="929" spans="1:15" s="138" customFormat="1" x14ac:dyDescent="0.25">
      <c r="A929" s="255" t="s">
        <v>181</v>
      </c>
      <c r="B929" s="191">
        <v>10</v>
      </c>
      <c r="C929" s="4" t="s">
        <v>49</v>
      </c>
      <c r="D929" s="156" t="s">
        <v>116</v>
      </c>
      <c r="E929" s="326"/>
      <c r="F929" s="159">
        <f t="shared" ref="F929:K929" si="287">F938+F930</f>
        <v>30960.3</v>
      </c>
      <c r="G929" s="306">
        <f t="shared" si="287"/>
        <v>23369</v>
      </c>
      <c r="H929" s="522">
        <f t="shared" si="287"/>
        <v>29730.400000000001</v>
      </c>
      <c r="I929" s="522">
        <f t="shared" si="287"/>
        <v>16426.2</v>
      </c>
      <c r="J929" s="522">
        <f t="shared" si="287"/>
        <v>30120.5</v>
      </c>
      <c r="K929" s="522">
        <f t="shared" si="287"/>
        <v>16695</v>
      </c>
      <c r="L929" s="154"/>
      <c r="N929" s="154"/>
      <c r="O929" s="154"/>
    </row>
    <row r="930" spans="1:15" s="138" customFormat="1" x14ac:dyDescent="0.25">
      <c r="A930" s="255" t="s">
        <v>180</v>
      </c>
      <c r="B930" s="191">
        <v>10</v>
      </c>
      <c r="C930" s="4" t="s">
        <v>49</v>
      </c>
      <c r="D930" s="156" t="s">
        <v>143</v>
      </c>
      <c r="E930" s="326"/>
      <c r="F930" s="159">
        <f t="shared" ref="F930:K930" si="288">F931</f>
        <v>16279.3</v>
      </c>
      <c r="G930" s="306">
        <f t="shared" si="288"/>
        <v>8688</v>
      </c>
      <c r="H930" s="522">
        <f t="shared" si="288"/>
        <v>29730.400000000001</v>
      </c>
      <c r="I930" s="522">
        <f t="shared" si="288"/>
        <v>16426.2</v>
      </c>
      <c r="J930" s="522">
        <f t="shared" si="288"/>
        <v>30120.5</v>
      </c>
      <c r="K930" s="522">
        <f t="shared" si="288"/>
        <v>16695</v>
      </c>
      <c r="L930" s="154"/>
      <c r="N930" s="154"/>
      <c r="O930" s="154"/>
    </row>
    <row r="931" spans="1:15" s="138" customFormat="1" ht="47.25" x14ac:dyDescent="0.25">
      <c r="A931" s="255" t="s">
        <v>424</v>
      </c>
      <c r="B931" s="191">
        <v>10</v>
      </c>
      <c r="C931" s="4" t="s">
        <v>49</v>
      </c>
      <c r="D931" s="156" t="s">
        <v>142</v>
      </c>
      <c r="E931" s="326"/>
      <c r="F931" s="159">
        <f>F935+F932</f>
        <v>16279.3</v>
      </c>
      <c r="G931" s="522">
        <f>G935</f>
        <v>8688</v>
      </c>
      <c r="H931" s="522">
        <f>H935</f>
        <v>29730.400000000001</v>
      </c>
      <c r="I931" s="522">
        <f>I935</f>
        <v>16426.2</v>
      </c>
      <c r="J931" s="522">
        <f>J935</f>
        <v>30120.5</v>
      </c>
      <c r="K931" s="522">
        <f>K935</f>
        <v>16695</v>
      </c>
      <c r="L931" s="154"/>
      <c r="N931" s="154"/>
      <c r="O931" s="154"/>
    </row>
    <row r="932" spans="1:15" s="519" customFormat="1" ht="31.5" x14ac:dyDescent="0.25">
      <c r="A932" s="457" t="s">
        <v>831</v>
      </c>
      <c r="B932" s="453">
        <v>10</v>
      </c>
      <c r="C932" s="453" t="s">
        <v>49</v>
      </c>
      <c r="D932" s="542" t="s">
        <v>832</v>
      </c>
      <c r="E932" s="454"/>
      <c r="F932" s="522">
        <f>F933</f>
        <v>561.29999999999995</v>
      </c>
      <c r="G932" s="522"/>
      <c r="H932" s="522">
        <f t="shared" ref="H932:J933" si="289">H933</f>
        <v>0</v>
      </c>
      <c r="I932" s="522"/>
      <c r="J932" s="522">
        <f t="shared" si="289"/>
        <v>0</v>
      </c>
      <c r="K932" s="522"/>
      <c r="L932" s="521"/>
      <c r="N932" s="521"/>
      <c r="O932" s="521"/>
    </row>
    <row r="933" spans="1:15" s="519" customFormat="1" x14ac:dyDescent="0.25">
      <c r="A933" s="451" t="s">
        <v>97</v>
      </c>
      <c r="B933" s="453">
        <v>10</v>
      </c>
      <c r="C933" s="453" t="s">
        <v>49</v>
      </c>
      <c r="D933" s="542" t="s">
        <v>832</v>
      </c>
      <c r="E933" s="454">
        <v>300</v>
      </c>
      <c r="F933" s="522">
        <f>F934</f>
        <v>561.29999999999995</v>
      </c>
      <c r="G933" s="522"/>
      <c r="H933" s="522">
        <f t="shared" si="289"/>
        <v>0</v>
      </c>
      <c r="I933" s="522"/>
      <c r="J933" s="522">
        <f t="shared" si="289"/>
        <v>0</v>
      </c>
      <c r="K933" s="522"/>
      <c r="L933" s="521"/>
      <c r="N933" s="521"/>
      <c r="O933" s="521"/>
    </row>
    <row r="934" spans="1:15" s="519" customFormat="1" x14ac:dyDescent="0.25">
      <c r="A934" s="451" t="s">
        <v>24</v>
      </c>
      <c r="B934" s="453">
        <v>10</v>
      </c>
      <c r="C934" s="453" t="s">
        <v>49</v>
      </c>
      <c r="D934" s="542" t="s">
        <v>832</v>
      </c>
      <c r="E934" s="454">
        <v>320</v>
      </c>
      <c r="F934" s="522">
        <f>'ведом. 2025-2027'!AD1082</f>
        <v>561.29999999999995</v>
      </c>
      <c r="G934" s="524"/>
      <c r="H934" s="522">
        <f>'ведом. 2025-2027'!AE1082</f>
        <v>0</v>
      </c>
      <c r="I934" s="522"/>
      <c r="J934" s="522">
        <f>'ведом. 2025-2027'!AF1082</f>
        <v>0</v>
      </c>
      <c r="K934" s="522"/>
      <c r="L934" s="521"/>
      <c r="N934" s="521"/>
      <c r="O934" s="521"/>
    </row>
    <row r="935" spans="1:15" s="138" customFormat="1" x14ac:dyDescent="0.25">
      <c r="A935" s="255" t="s">
        <v>178</v>
      </c>
      <c r="B935" s="191">
        <v>10</v>
      </c>
      <c r="C935" s="4" t="s">
        <v>49</v>
      </c>
      <c r="D935" s="156" t="s">
        <v>179</v>
      </c>
      <c r="E935" s="326"/>
      <c r="F935" s="159">
        <f t="shared" ref="F935:K936" si="290">F936</f>
        <v>15718</v>
      </c>
      <c r="G935" s="306">
        <f t="shared" si="290"/>
        <v>8688</v>
      </c>
      <c r="H935" s="522">
        <f t="shared" si="290"/>
        <v>29730.400000000001</v>
      </c>
      <c r="I935" s="522">
        <f t="shared" si="290"/>
        <v>16426.2</v>
      </c>
      <c r="J935" s="522">
        <f t="shared" si="290"/>
        <v>30120.5</v>
      </c>
      <c r="K935" s="522">
        <f t="shared" si="290"/>
        <v>16695</v>
      </c>
      <c r="L935" s="154"/>
      <c r="N935" s="154"/>
      <c r="O935" s="154"/>
    </row>
    <row r="936" spans="1:15" s="138" customFormat="1" x14ac:dyDescent="0.25">
      <c r="A936" s="375" t="s">
        <v>97</v>
      </c>
      <c r="B936" s="191">
        <v>10</v>
      </c>
      <c r="C936" s="4" t="s">
        <v>49</v>
      </c>
      <c r="D936" s="156" t="s">
        <v>179</v>
      </c>
      <c r="E936" s="326">
        <v>300</v>
      </c>
      <c r="F936" s="159">
        <f t="shared" si="290"/>
        <v>15718</v>
      </c>
      <c r="G936" s="306">
        <f t="shared" si="290"/>
        <v>8688</v>
      </c>
      <c r="H936" s="522">
        <f t="shared" si="290"/>
        <v>29730.400000000001</v>
      </c>
      <c r="I936" s="522">
        <f t="shared" si="290"/>
        <v>16426.2</v>
      </c>
      <c r="J936" s="522">
        <f t="shared" si="290"/>
        <v>30120.5</v>
      </c>
      <c r="K936" s="522">
        <f t="shared" si="290"/>
        <v>16695</v>
      </c>
      <c r="L936" s="154"/>
      <c r="N936" s="154"/>
      <c r="O936" s="154"/>
    </row>
    <row r="937" spans="1:15" s="138" customFormat="1" x14ac:dyDescent="0.25">
      <c r="A937" s="375" t="s">
        <v>24</v>
      </c>
      <c r="B937" s="191">
        <v>10</v>
      </c>
      <c r="C937" s="4" t="s">
        <v>49</v>
      </c>
      <c r="D937" s="156" t="s">
        <v>179</v>
      </c>
      <c r="E937" s="326">
        <v>320</v>
      </c>
      <c r="F937" s="159">
        <f>'ведом. 2025-2027'!AD1085</f>
        <v>15718</v>
      </c>
      <c r="G937" s="306">
        <v>8688</v>
      </c>
      <c r="H937" s="522">
        <f>'ведом. 2025-2027'!AE1085</f>
        <v>29730.400000000001</v>
      </c>
      <c r="I937" s="522">
        <v>16426.2</v>
      </c>
      <c r="J937" s="522">
        <f>16695+13425.5</f>
        <v>30120.5</v>
      </c>
      <c r="K937" s="522">
        <v>16695</v>
      </c>
      <c r="L937" s="154"/>
      <c r="M937" s="521"/>
      <c r="N937" s="154"/>
      <c r="O937" s="154"/>
    </row>
    <row r="938" spans="1:15" s="138" customFormat="1" ht="31.5" x14ac:dyDescent="0.25">
      <c r="A938" s="376" t="s">
        <v>438</v>
      </c>
      <c r="B938" s="191">
        <v>10</v>
      </c>
      <c r="C938" s="4" t="s">
        <v>49</v>
      </c>
      <c r="D938" s="156" t="s">
        <v>146</v>
      </c>
      <c r="E938" s="326"/>
      <c r="F938" s="159">
        <f t="shared" ref="F938:J939" si="291">F939</f>
        <v>14681</v>
      </c>
      <c r="G938" s="159">
        <f t="shared" si="291"/>
        <v>14681</v>
      </c>
      <c r="H938" s="522">
        <f t="shared" si="291"/>
        <v>0</v>
      </c>
      <c r="I938" s="522"/>
      <c r="J938" s="522">
        <f t="shared" si="291"/>
        <v>0</v>
      </c>
      <c r="K938" s="522"/>
      <c r="L938" s="154"/>
      <c r="N938" s="154"/>
      <c r="O938" s="154"/>
    </row>
    <row r="939" spans="1:15" s="138" customFormat="1" ht="47.25" x14ac:dyDescent="0.25">
      <c r="A939" s="376" t="s">
        <v>439</v>
      </c>
      <c r="B939" s="191">
        <v>10</v>
      </c>
      <c r="C939" s="4" t="s">
        <v>49</v>
      </c>
      <c r="D939" s="156" t="s">
        <v>145</v>
      </c>
      <c r="E939" s="326"/>
      <c r="F939" s="159">
        <f>F940</f>
        <v>14681</v>
      </c>
      <c r="G939" s="522">
        <f t="shared" si="291"/>
        <v>14681</v>
      </c>
      <c r="H939" s="522">
        <f t="shared" si="291"/>
        <v>0</v>
      </c>
      <c r="I939" s="522"/>
      <c r="J939" s="522">
        <f t="shared" si="291"/>
        <v>0</v>
      </c>
      <c r="K939" s="522"/>
      <c r="L939" s="154"/>
      <c r="N939" s="154"/>
      <c r="O939" s="154"/>
    </row>
    <row r="940" spans="1:15" s="138" customFormat="1" ht="31.5" x14ac:dyDescent="0.25">
      <c r="A940" s="275" t="s">
        <v>616</v>
      </c>
      <c r="B940" s="191">
        <v>10</v>
      </c>
      <c r="C940" s="4" t="s">
        <v>49</v>
      </c>
      <c r="D940" s="156" t="s">
        <v>144</v>
      </c>
      <c r="E940" s="326"/>
      <c r="F940" s="159">
        <f t="shared" ref="F940:J940" si="292">F941</f>
        <v>14681</v>
      </c>
      <c r="G940" s="159">
        <f t="shared" si="292"/>
        <v>14681</v>
      </c>
      <c r="H940" s="522">
        <f t="shared" si="292"/>
        <v>0</v>
      </c>
      <c r="I940" s="522"/>
      <c r="J940" s="522">
        <f t="shared" si="292"/>
        <v>0</v>
      </c>
      <c r="K940" s="522"/>
      <c r="L940" s="180"/>
      <c r="N940" s="154"/>
      <c r="O940" s="154"/>
    </row>
    <row r="941" spans="1:15" s="138" customFormat="1" x14ac:dyDescent="0.25">
      <c r="A941" s="388" t="s">
        <v>23</v>
      </c>
      <c r="B941" s="191">
        <v>10</v>
      </c>
      <c r="C941" s="4" t="s">
        <v>49</v>
      </c>
      <c r="D941" s="279" t="s">
        <v>144</v>
      </c>
      <c r="E941" s="326">
        <v>400</v>
      </c>
      <c r="F941" s="159">
        <f t="shared" ref="F941:J941" si="293">F942</f>
        <v>14681</v>
      </c>
      <c r="G941" s="306">
        <f t="shared" si="293"/>
        <v>14681</v>
      </c>
      <c r="H941" s="522">
        <f t="shared" si="293"/>
        <v>0</v>
      </c>
      <c r="I941" s="522"/>
      <c r="J941" s="522">
        <f t="shared" si="293"/>
        <v>0</v>
      </c>
      <c r="K941" s="522"/>
      <c r="L941" s="154"/>
      <c r="N941" s="154"/>
      <c r="O941" s="154"/>
    </row>
    <row r="942" spans="1:15" s="138" customFormat="1" x14ac:dyDescent="0.25">
      <c r="A942" s="375" t="s">
        <v>9</v>
      </c>
      <c r="B942" s="191">
        <v>10</v>
      </c>
      <c r="C942" s="4" t="s">
        <v>49</v>
      </c>
      <c r="D942" s="279" t="s">
        <v>144</v>
      </c>
      <c r="E942" s="326">
        <v>410</v>
      </c>
      <c r="F942" s="159">
        <f>'ведом. 2025-2027'!AD663</f>
        <v>14681</v>
      </c>
      <c r="G942" s="306">
        <f>F942</f>
        <v>14681</v>
      </c>
      <c r="H942" s="522">
        <f>'ведом. 2025-2027'!AE663</f>
        <v>0</v>
      </c>
      <c r="I942" s="522"/>
      <c r="J942" s="522">
        <f>'ведом. 2025-2027'!AF663</f>
        <v>0</v>
      </c>
      <c r="K942" s="522"/>
      <c r="L942" s="154"/>
      <c r="N942" s="154"/>
      <c r="O942" s="154"/>
    </row>
    <row r="943" spans="1:15" s="138" customFormat="1" x14ac:dyDescent="0.25">
      <c r="A943" s="375" t="s">
        <v>33</v>
      </c>
      <c r="B943" s="191">
        <v>10</v>
      </c>
      <c r="C943" s="4" t="s">
        <v>95</v>
      </c>
      <c r="D943" s="26"/>
      <c r="E943" s="325"/>
      <c r="F943" s="159">
        <f t="shared" ref="F943:F951" si="294">F944</f>
        <v>140</v>
      </c>
      <c r="G943" s="306"/>
      <c r="H943" s="522">
        <f>H944</f>
        <v>140</v>
      </c>
      <c r="I943" s="522"/>
      <c r="J943" s="522">
        <f>J944</f>
        <v>140</v>
      </c>
      <c r="K943" s="522"/>
      <c r="L943" s="154"/>
      <c r="N943" s="154"/>
      <c r="O943" s="154"/>
    </row>
    <row r="944" spans="1:15" s="138" customFormat="1" x14ac:dyDescent="0.25">
      <c r="A944" s="255" t="s">
        <v>292</v>
      </c>
      <c r="B944" s="191">
        <v>10</v>
      </c>
      <c r="C944" s="4" t="s">
        <v>95</v>
      </c>
      <c r="D944" s="156" t="s">
        <v>109</v>
      </c>
      <c r="E944" s="325"/>
      <c r="F944" s="159">
        <f t="shared" si="294"/>
        <v>140</v>
      </c>
      <c r="G944" s="306"/>
      <c r="H944" s="522">
        <f>H945</f>
        <v>140</v>
      </c>
      <c r="I944" s="522"/>
      <c r="J944" s="522">
        <f>J945</f>
        <v>140</v>
      </c>
      <c r="K944" s="522"/>
      <c r="L944" s="154"/>
      <c r="N944" s="154"/>
      <c r="O944" s="154"/>
    </row>
    <row r="945" spans="1:15" s="138" customFormat="1" ht="31.5" x14ac:dyDescent="0.25">
      <c r="A945" s="259" t="s">
        <v>343</v>
      </c>
      <c r="B945" s="191">
        <v>10</v>
      </c>
      <c r="C945" s="4" t="s">
        <v>95</v>
      </c>
      <c r="D945" s="156" t="s">
        <v>520</v>
      </c>
      <c r="E945" s="325"/>
      <c r="F945" s="159">
        <f t="shared" si="294"/>
        <v>140</v>
      </c>
      <c r="G945" s="306"/>
      <c r="H945" s="522">
        <f>H946</f>
        <v>140</v>
      </c>
      <c r="I945" s="522"/>
      <c r="J945" s="522">
        <f>J946</f>
        <v>140</v>
      </c>
      <c r="K945" s="522"/>
      <c r="L945" s="154"/>
      <c r="N945" s="154"/>
      <c r="O945" s="154"/>
    </row>
    <row r="946" spans="1:15" s="138" customFormat="1" x14ac:dyDescent="0.25">
      <c r="A946" s="276" t="s">
        <v>522</v>
      </c>
      <c r="B946" s="191">
        <v>10</v>
      </c>
      <c r="C946" s="4" t="s">
        <v>95</v>
      </c>
      <c r="D946" s="156" t="s">
        <v>521</v>
      </c>
      <c r="E946" s="325"/>
      <c r="F946" s="159">
        <f>F950+F947</f>
        <v>140</v>
      </c>
      <c r="G946" s="159"/>
      <c r="H946" s="522">
        <f>H950+H947</f>
        <v>140</v>
      </c>
      <c r="I946" s="522"/>
      <c r="J946" s="522">
        <f>J950+J947</f>
        <v>140</v>
      </c>
      <c r="K946" s="522"/>
      <c r="L946" s="154"/>
      <c r="N946" s="154"/>
      <c r="O946" s="154"/>
    </row>
    <row r="947" spans="1:15" s="177" customFormat="1" x14ac:dyDescent="0.25">
      <c r="A947" s="416" t="s">
        <v>593</v>
      </c>
      <c r="B947" s="1">
        <v>10</v>
      </c>
      <c r="C947" s="1" t="s">
        <v>95</v>
      </c>
      <c r="D947" s="409" t="s">
        <v>594</v>
      </c>
      <c r="E947" s="417"/>
      <c r="F947" s="159">
        <f>F948</f>
        <v>70</v>
      </c>
      <c r="G947" s="306"/>
      <c r="H947" s="522">
        <f>H948</f>
        <v>70</v>
      </c>
      <c r="I947" s="522"/>
      <c r="J947" s="522">
        <f>J948</f>
        <v>70</v>
      </c>
      <c r="K947" s="522"/>
      <c r="L947" s="154"/>
      <c r="N947" s="154"/>
      <c r="O947" s="154"/>
    </row>
    <row r="948" spans="1:15" s="177" customFormat="1" ht="31.5" x14ac:dyDescent="0.25">
      <c r="A948" s="418" t="s">
        <v>60</v>
      </c>
      <c r="B948" s="1">
        <v>10</v>
      </c>
      <c r="C948" s="1" t="s">
        <v>95</v>
      </c>
      <c r="D948" s="409" t="s">
        <v>594</v>
      </c>
      <c r="E948" s="417">
        <v>600</v>
      </c>
      <c r="F948" s="159">
        <f>F949</f>
        <v>70</v>
      </c>
      <c r="G948" s="306"/>
      <c r="H948" s="522">
        <f>H949</f>
        <v>70</v>
      </c>
      <c r="I948" s="522"/>
      <c r="J948" s="522">
        <f>J949</f>
        <v>70</v>
      </c>
      <c r="K948" s="522"/>
      <c r="L948" s="154"/>
      <c r="N948" s="154"/>
      <c r="O948" s="154"/>
    </row>
    <row r="949" spans="1:15" s="177" customFormat="1" ht="39" customHeight="1" x14ac:dyDescent="0.25">
      <c r="A949" s="419" t="s">
        <v>407</v>
      </c>
      <c r="B949" s="1">
        <v>10</v>
      </c>
      <c r="C949" s="1" t="s">
        <v>95</v>
      </c>
      <c r="D949" s="409" t="s">
        <v>594</v>
      </c>
      <c r="E949" s="417">
        <v>630</v>
      </c>
      <c r="F949" s="159">
        <f>'ведом. 2025-2027'!AD511</f>
        <v>70</v>
      </c>
      <c r="G949" s="306"/>
      <c r="H949" s="522">
        <f>'ведом. 2025-2027'!AE511</f>
        <v>70</v>
      </c>
      <c r="I949" s="522"/>
      <c r="J949" s="522">
        <f>'ведом. 2025-2027'!AF511</f>
        <v>70</v>
      </c>
      <c r="K949" s="522"/>
      <c r="L949" s="154"/>
      <c r="N949" s="154"/>
      <c r="O949" s="154"/>
    </row>
    <row r="950" spans="1:15" s="138" customFormat="1" ht="31.5" x14ac:dyDescent="0.25">
      <c r="A950" s="256" t="s">
        <v>574</v>
      </c>
      <c r="B950" s="191">
        <v>10</v>
      </c>
      <c r="C950" s="4" t="s">
        <v>95</v>
      </c>
      <c r="D950" s="156" t="s">
        <v>575</v>
      </c>
      <c r="E950" s="341"/>
      <c r="F950" s="159">
        <f t="shared" si="294"/>
        <v>70</v>
      </c>
      <c r="G950" s="306"/>
      <c r="H950" s="522">
        <f>H951</f>
        <v>70</v>
      </c>
      <c r="I950" s="522"/>
      <c r="J950" s="522">
        <f>J951</f>
        <v>70</v>
      </c>
      <c r="K950" s="522"/>
      <c r="L950" s="154"/>
      <c r="N950" s="154"/>
      <c r="O950" s="154"/>
    </row>
    <row r="951" spans="1:15" s="138" customFormat="1" ht="31.5" x14ac:dyDescent="0.25">
      <c r="A951" s="375" t="s">
        <v>60</v>
      </c>
      <c r="B951" s="191">
        <v>10</v>
      </c>
      <c r="C951" s="4" t="s">
        <v>95</v>
      </c>
      <c r="D951" s="156" t="s">
        <v>575</v>
      </c>
      <c r="E951" s="341">
        <v>600</v>
      </c>
      <c r="F951" s="159">
        <f t="shared" si="294"/>
        <v>70</v>
      </c>
      <c r="G951" s="306"/>
      <c r="H951" s="522">
        <f>H952</f>
        <v>70</v>
      </c>
      <c r="I951" s="522"/>
      <c r="J951" s="522">
        <f>J952</f>
        <v>70</v>
      </c>
      <c r="K951" s="522"/>
      <c r="L951" s="154"/>
      <c r="N951" s="154"/>
      <c r="O951" s="154"/>
    </row>
    <row r="952" spans="1:15" s="138" customFormat="1" ht="36" customHeight="1" x14ac:dyDescent="0.25">
      <c r="A952" s="389" t="s">
        <v>407</v>
      </c>
      <c r="B952" s="191">
        <v>10</v>
      </c>
      <c r="C952" s="4" t="s">
        <v>95</v>
      </c>
      <c r="D952" s="156" t="s">
        <v>575</v>
      </c>
      <c r="E952" s="341">
        <v>630</v>
      </c>
      <c r="F952" s="159">
        <f>'ведом. 2025-2027'!AD514</f>
        <v>70</v>
      </c>
      <c r="G952" s="306"/>
      <c r="H952" s="522">
        <f>'ведом. 2025-2027'!AE514</f>
        <v>70</v>
      </c>
      <c r="I952" s="522"/>
      <c r="J952" s="522">
        <f>'ведом. 2025-2027'!AF514</f>
        <v>70</v>
      </c>
      <c r="K952" s="522"/>
      <c r="L952" s="154"/>
      <c r="N952" s="154"/>
      <c r="O952" s="154"/>
    </row>
    <row r="953" spans="1:15" s="138" customFormat="1" x14ac:dyDescent="0.25">
      <c r="A953" s="384" t="s">
        <v>13</v>
      </c>
      <c r="B953" s="182">
        <v>11</v>
      </c>
      <c r="C953" s="188"/>
      <c r="D953" s="280"/>
      <c r="E953" s="330"/>
      <c r="F953" s="161">
        <f>F954+F968</f>
        <v>136390.6</v>
      </c>
      <c r="G953" s="161"/>
      <c r="H953" s="161">
        <f>H954+H968</f>
        <v>124375.9</v>
      </c>
      <c r="I953" s="161"/>
      <c r="J953" s="161">
        <f>J954+J968</f>
        <v>127463.3</v>
      </c>
      <c r="K953" s="161"/>
      <c r="L953" s="154"/>
      <c r="N953" s="154"/>
      <c r="O953" s="154"/>
    </row>
    <row r="954" spans="1:15" s="138" customFormat="1" x14ac:dyDescent="0.25">
      <c r="A954" s="375" t="s">
        <v>35</v>
      </c>
      <c r="B954" s="191">
        <v>11</v>
      </c>
      <c r="C954" s="4" t="s">
        <v>30</v>
      </c>
      <c r="D954" s="156"/>
      <c r="E954" s="332"/>
      <c r="F954" s="159">
        <f>F955</f>
        <v>10724.5</v>
      </c>
      <c r="G954" s="522"/>
      <c r="H954" s="522">
        <f t="shared" ref="H954" si="295">H955</f>
        <v>3632.9</v>
      </c>
      <c r="I954" s="522"/>
      <c r="J954" s="522">
        <f t="shared" ref="J954" si="296">J955</f>
        <v>5239.3</v>
      </c>
      <c r="K954" s="522"/>
      <c r="L954" s="154"/>
      <c r="N954" s="154"/>
      <c r="O954" s="154"/>
    </row>
    <row r="955" spans="1:15" s="177" customFormat="1" x14ac:dyDescent="0.25">
      <c r="A955" s="255" t="s">
        <v>157</v>
      </c>
      <c r="B955" s="191">
        <v>11</v>
      </c>
      <c r="C955" s="4" t="s">
        <v>30</v>
      </c>
      <c r="D955" s="156" t="s">
        <v>115</v>
      </c>
      <c r="E955" s="332"/>
      <c r="F955" s="159">
        <f>F956+F964</f>
        <v>10724.5</v>
      </c>
      <c r="G955" s="522"/>
      <c r="H955" s="522">
        <f>H956+H964</f>
        <v>3632.9</v>
      </c>
      <c r="I955" s="522"/>
      <c r="J955" s="522">
        <f>J956+J964</f>
        <v>5239.3</v>
      </c>
      <c r="K955" s="522"/>
      <c r="L955" s="154"/>
      <c r="N955" s="154"/>
      <c r="O955" s="154"/>
    </row>
    <row r="956" spans="1:15" s="138" customFormat="1" x14ac:dyDescent="0.25">
      <c r="A956" s="255" t="s">
        <v>158</v>
      </c>
      <c r="B956" s="191">
        <v>11</v>
      </c>
      <c r="C956" s="4" t="s">
        <v>30</v>
      </c>
      <c r="D956" s="156" t="s">
        <v>119</v>
      </c>
      <c r="E956" s="332"/>
      <c r="F956" s="159">
        <f>F957</f>
        <v>5319.5</v>
      </c>
      <c r="G956" s="306"/>
      <c r="H956" s="522">
        <f>H957</f>
        <v>3632.9</v>
      </c>
      <c r="I956" s="522"/>
      <c r="J956" s="522">
        <f>J957</f>
        <v>5239.3</v>
      </c>
      <c r="K956" s="522"/>
      <c r="L956" s="154"/>
      <c r="N956" s="154"/>
      <c r="O956" s="154"/>
    </row>
    <row r="957" spans="1:15" s="177" customFormat="1" ht="46.5" customHeight="1" x14ac:dyDescent="0.25">
      <c r="A957" s="558" t="s">
        <v>749</v>
      </c>
      <c r="B957" s="191">
        <v>11</v>
      </c>
      <c r="C957" s="4" t="s">
        <v>30</v>
      </c>
      <c r="D957" s="156" t="s">
        <v>129</v>
      </c>
      <c r="E957" s="332"/>
      <c r="F957" s="159">
        <f>F958</f>
        <v>5319.5</v>
      </c>
      <c r="G957" s="306"/>
      <c r="H957" s="522">
        <f>H958</f>
        <v>3632.9</v>
      </c>
      <c r="I957" s="522"/>
      <c r="J957" s="522">
        <f>J958</f>
        <v>5239.3</v>
      </c>
      <c r="K957" s="522"/>
      <c r="L957" s="154"/>
      <c r="N957" s="154"/>
      <c r="O957" s="154"/>
    </row>
    <row r="958" spans="1:15" s="138" customFormat="1" ht="31.5" x14ac:dyDescent="0.25">
      <c r="A958" s="278" t="s">
        <v>159</v>
      </c>
      <c r="B958" s="191">
        <v>11</v>
      </c>
      <c r="C958" s="4" t="s">
        <v>30</v>
      </c>
      <c r="D958" s="156" t="s">
        <v>160</v>
      </c>
      <c r="E958" s="330"/>
      <c r="F958" s="159">
        <f>F959+F961</f>
        <v>5319.5</v>
      </c>
      <c r="G958" s="522"/>
      <c r="H958" s="522">
        <f t="shared" ref="H958:J958" si="297">H959+H961</f>
        <v>3632.9</v>
      </c>
      <c r="I958" s="522"/>
      <c r="J958" s="522">
        <f t="shared" si="297"/>
        <v>5239.3</v>
      </c>
      <c r="K958" s="522"/>
      <c r="L958" s="154"/>
      <c r="N958" s="154"/>
      <c r="O958" s="154"/>
    </row>
    <row r="959" spans="1:15" s="138" customFormat="1" x14ac:dyDescent="0.25">
      <c r="A959" s="375" t="s">
        <v>120</v>
      </c>
      <c r="B959" s="191">
        <v>11</v>
      </c>
      <c r="C959" s="4" t="s">
        <v>30</v>
      </c>
      <c r="D959" s="156" t="s">
        <v>160</v>
      </c>
      <c r="E959" s="332">
        <v>200</v>
      </c>
      <c r="F959" s="159">
        <f>F960</f>
        <v>4119.5</v>
      </c>
      <c r="G959" s="306"/>
      <c r="H959" s="522">
        <f>H960</f>
        <v>2857.9</v>
      </c>
      <c r="I959" s="522"/>
      <c r="J959" s="522">
        <f>J960</f>
        <v>3239.3</v>
      </c>
      <c r="K959" s="522"/>
      <c r="L959" s="154"/>
      <c r="N959" s="154"/>
      <c r="O959" s="154"/>
    </row>
    <row r="960" spans="1:15" s="138" customFormat="1" ht="31.5" x14ac:dyDescent="0.25">
      <c r="A960" s="375" t="s">
        <v>52</v>
      </c>
      <c r="B960" s="191">
        <v>11</v>
      </c>
      <c r="C960" s="4" t="s">
        <v>30</v>
      </c>
      <c r="D960" s="156" t="s">
        <v>160</v>
      </c>
      <c r="E960" s="332">
        <v>240</v>
      </c>
      <c r="F960" s="159">
        <f>'ведом. 2025-2027'!AD522</f>
        <v>4119.5</v>
      </c>
      <c r="G960" s="306"/>
      <c r="H960" s="522">
        <f>'ведом. 2025-2027'!AE522</f>
        <v>2857.9</v>
      </c>
      <c r="I960" s="522"/>
      <c r="J960" s="522">
        <f>'ведом. 2025-2027'!AF522</f>
        <v>3239.3</v>
      </c>
      <c r="K960" s="522"/>
      <c r="L960" s="154"/>
      <c r="N960" s="154"/>
      <c r="O960" s="154"/>
    </row>
    <row r="961" spans="1:15" s="519" customFormat="1" ht="31.5" x14ac:dyDescent="0.25">
      <c r="A961" s="559" t="s">
        <v>60</v>
      </c>
      <c r="B961" s="453">
        <v>11</v>
      </c>
      <c r="C961" s="453" t="s">
        <v>30</v>
      </c>
      <c r="D961" s="542" t="s">
        <v>160</v>
      </c>
      <c r="E961" s="454">
        <v>600</v>
      </c>
      <c r="F961" s="522">
        <f>F962+F963</f>
        <v>1200</v>
      </c>
      <c r="G961" s="522"/>
      <c r="H961" s="522">
        <f t="shared" ref="H961:J961" si="298">H962+H963</f>
        <v>775</v>
      </c>
      <c r="I961" s="522"/>
      <c r="J961" s="522">
        <f t="shared" si="298"/>
        <v>2000</v>
      </c>
      <c r="K961" s="522"/>
      <c r="L961" s="521"/>
      <c r="N961" s="521"/>
      <c r="O961" s="521"/>
    </row>
    <row r="962" spans="1:15" s="519" customFormat="1" x14ac:dyDescent="0.25">
      <c r="A962" s="479" t="s">
        <v>61</v>
      </c>
      <c r="B962" s="453">
        <v>11</v>
      </c>
      <c r="C962" s="453" t="s">
        <v>30</v>
      </c>
      <c r="D962" s="542" t="s">
        <v>160</v>
      </c>
      <c r="E962" s="454">
        <v>610</v>
      </c>
      <c r="F962" s="522">
        <f>'ведом. 2025-2027'!AD524</f>
        <v>450</v>
      </c>
      <c r="G962" s="524"/>
      <c r="H962" s="522">
        <f>'ведом. 2025-2027'!AE524</f>
        <v>450</v>
      </c>
      <c r="I962" s="522"/>
      <c r="J962" s="522">
        <f>'ведом. 2025-2027'!AF524</f>
        <v>1162</v>
      </c>
      <c r="K962" s="522"/>
      <c r="L962" s="521"/>
      <c r="N962" s="521"/>
      <c r="O962" s="521"/>
    </row>
    <row r="963" spans="1:15" s="519" customFormat="1" x14ac:dyDescent="0.25">
      <c r="A963" s="560" t="s">
        <v>130</v>
      </c>
      <c r="B963" s="453">
        <v>11</v>
      </c>
      <c r="C963" s="453" t="s">
        <v>30</v>
      </c>
      <c r="D963" s="542" t="s">
        <v>160</v>
      </c>
      <c r="E963" s="454">
        <v>620</v>
      </c>
      <c r="F963" s="522">
        <f>'ведом. 2025-2027'!AD525</f>
        <v>750</v>
      </c>
      <c r="G963" s="524"/>
      <c r="H963" s="522">
        <f>'ведом. 2025-2027'!AE525</f>
        <v>325</v>
      </c>
      <c r="I963" s="522"/>
      <c r="J963" s="522">
        <f>'ведом. 2025-2027'!AF525</f>
        <v>838</v>
      </c>
      <c r="K963" s="522"/>
      <c r="L963" s="521"/>
      <c r="N963" s="521"/>
      <c r="O963" s="521"/>
    </row>
    <row r="964" spans="1:15" s="519" customFormat="1" x14ac:dyDescent="0.25">
      <c r="A964" s="451" t="s">
        <v>685</v>
      </c>
      <c r="B964" s="453">
        <v>11</v>
      </c>
      <c r="C964" s="454" t="s">
        <v>30</v>
      </c>
      <c r="D964" s="458" t="s">
        <v>686</v>
      </c>
      <c r="E964" s="460"/>
      <c r="F964" s="522">
        <f>F965</f>
        <v>5405</v>
      </c>
      <c r="G964" s="522"/>
      <c r="H964" s="522">
        <f t="shared" ref="H964:J966" si="299">H965</f>
        <v>0</v>
      </c>
      <c r="I964" s="522"/>
      <c r="J964" s="522">
        <f t="shared" si="299"/>
        <v>0</v>
      </c>
      <c r="K964" s="522"/>
      <c r="L964" s="521"/>
      <c r="N964" s="521"/>
      <c r="O964" s="521"/>
    </row>
    <row r="965" spans="1:15" s="519" customFormat="1" x14ac:dyDescent="0.25">
      <c r="A965" s="451" t="s">
        <v>687</v>
      </c>
      <c r="B965" s="453">
        <v>11</v>
      </c>
      <c r="C965" s="454" t="s">
        <v>30</v>
      </c>
      <c r="D965" s="458" t="s">
        <v>688</v>
      </c>
      <c r="E965" s="460"/>
      <c r="F965" s="522">
        <f>F966</f>
        <v>5405</v>
      </c>
      <c r="G965" s="522"/>
      <c r="H965" s="522">
        <f t="shared" si="299"/>
        <v>0</v>
      </c>
      <c r="I965" s="522"/>
      <c r="J965" s="522">
        <f t="shared" si="299"/>
        <v>0</v>
      </c>
      <c r="K965" s="522"/>
      <c r="L965" s="521"/>
      <c r="N965" s="521"/>
      <c r="O965" s="521"/>
    </row>
    <row r="966" spans="1:15" s="519" customFormat="1" x14ac:dyDescent="0.25">
      <c r="A966" s="451" t="s">
        <v>120</v>
      </c>
      <c r="B966" s="453">
        <v>11</v>
      </c>
      <c r="C966" s="454" t="s">
        <v>30</v>
      </c>
      <c r="D966" s="458" t="s">
        <v>688</v>
      </c>
      <c r="E966" s="460">
        <v>200</v>
      </c>
      <c r="F966" s="522">
        <f>F967</f>
        <v>5405</v>
      </c>
      <c r="G966" s="522"/>
      <c r="H966" s="522">
        <f t="shared" si="299"/>
        <v>0</v>
      </c>
      <c r="I966" s="522"/>
      <c r="J966" s="522">
        <f t="shared" si="299"/>
        <v>0</v>
      </c>
      <c r="K966" s="522"/>
      <c r="L966" s="521"/>
      <c r="N966" s="521"/>
      <c r="O966" s="521"/>
    </row>
    <row r="967" spans="1:15" s="519" customFormat="1" ht="31.5" x14ac:dyDescent="0.25">
      <c r="A967" s="451" t="s">
        <v>52</v>
      </c>
      <c r="B967" s="453">
        <v>11</v>
      </c>
      <c r="C967" s="454" t="s">
        <v>30</v>
      </c>
      <c r="D967" s="458" t="s">
        <v>688</v>
      </c>
      <c r="E967" s="460">
        <v>240</v>
      </c>
      <c r="F967" s="522">
        <f>'ведом. 2025-2027'!AD1093</f>
        <v>5405</v>
      </c>
      <c r="G967" s="524"/>
      <c r="H967" s="522">
        <f>'ведом. 2025-2027'!AE1093</f>
        <v>0</v>
      </c>
      <c r="I967" s="522"/>
      <c r="J967" s="522">
        <f>'ведом. 2025-2027'!AF1093</f>
        <v>0</v>
      </c>
      <c r="K967" s="522"/>
      <c r="L967" s="521"/>
      <c r="N967" s="521"/>
      <c r="O967" s="521"/>
    </row>
    <row r="968" spans="1:15" s="177" customFormat="1" ht="17.25" customHeight="1" x14ac:dyDescent="0.25">
      <c r="A968" s="273" t="s">
        <v>599</v>
      </c>
      <c r="B968" s="1">
        <v>11</v>
      </c>
      <c r="C968" s="4" t="s">
        <v>7</v>
      </c>
      <c r="D968" s="291"/>
      <c r="E968" s="285"/>
      <c r="F968" s="159">
        <f t="shared" ref="F968:F973" si="300">F969</f>
        <v>125666.1</v>
      </c>
      <c r="G968" s="159"/>
      <c r="H968" s="522">
        <f t="shared" ref="H968:H973" si="301">H969</f>
        <v>120743</v>
      </c>
      <c r="I968" s="522"/>
      <c r="J968" s="522">
        <f t="shared" ref="J968:J973" si="302">J969</f>
        <v>122224</v>
      </c>
      <c r="K968" s="522"/>
      <c r="L968" s="154"/>
      <c r="N968" s="154"/>
      <c r="O968" s="154"/>
    </row>
    <row r="969" spans="1:15" s="177" customFormat="1" x14ac:dyDescent="0.25">
      <c r="A969" s="255" t="s">
        <v>157</v>
      </c>
      <c r="B969" s="1">
        <v>11</v>
      </c>
      <c r="C969" s="4" t="s">
        <v>7</v>
      </c>
      <c r="D969" s="291" t="s">
        <v>115</v>
      </c>
      <c r="E969" s="285"/>
      <c r="F969" s="159">
        <f t="shared" si="300"/>
        <v>125666.1</v>
      </c>
      <c r="G969" s="159"/>
      <c r="H969" s="522">
        <f t="shared" si="301"/>
        <v>120743</v>
      </c>
      <c r="I969" s="522"/>
      <c r="J969" s="522">
        <f t="shared" si="302"/>
        <v>122224</v>
      </c>
      <c r="K969" s="522"/>
      <c r="L969" s="154"/>
      <c r="N969" s="154"/>
      <c r="O969" s="154"/>
    </row>
    <row r="970" spans="1:15" s="177" customFormat="1" x14ac:dyDescent="0.25">
      <c r="A970" s="273" t="s">
        <v>600</v>
      </c>
      <c r="B970" s="1">
        <v>11</v>
      </c>
      <c r="C970" s="4" t="s">
        <v>7</v>
      </c>
      <c r="D970" s="291" t="s">
        <v>601</v>
      </c>
      <c r="E970" s="285"/>
      <c r="F970" s="159">
        <f t="shared" si="300"/>
        <v>125666.1</v>
      </c>
      <c r="G970" s="159"/>
      <c r="H970" s="522">
        <f t="shared" si="301"/>
        <v>120743</v>
      </c>
      <c r="I970" s="522"/>
      <c r="J970" s="522">
        <f t="shared" si="302"/>
        <v>122224</v>
      </c>
      <c r="K970" s="522"/>
      <c r="L970" s="154"/>
      <c r="N970" s="154"/>
      <c r="O970" s="154"/>
    </row>
    <row r="971" spans="1:15" s="177" customFormat="1" x14ac:dyDescent="0.25">
      <c r="A971" s="273" t="s">
        <v>603</v>
      </c>
      <c r="B971" s="1">
        <v>11</v>
      </c>
      <c r="C971" s="4" t="s">
        <v>7</v>
      </c>
      <c r="D971" s="291" t="s">
        <v>602</v>
      </c>
      <c r="E971" s="285"/>
      <c r="F971" s="159">
        <f t="shared" si="300"/>
        <v>125666.1</v>
      </c>
      <c r="G971" s="159"/>
      <c r="H971" s="522">
        <f t="shared" si="301"/>
        <v>120743</v>
      </c>
      <c r="I971" s="522"/>
      <c r="J971" s="522">
        <f t="shared" si="302"/>
        <v>122224</v>
      </c>
      <c r="K971" s="522"/>
      <c r="L971" s="154"/>
      <c r="N971" s="154"/>
      <c r="O971" s="154"/>
    </row>
    <row r="972" spans="1:15" s="177" customFormat="1" ht="31.5" x14ac:dyDescent="0.25">
      <c r="A972" s="273" t="s">
        <v>605</v>
      </c>
      <c r="B972" s="1">
        <v>11</v>
      </c>
      <c r="C972" s="4" t="s">
        <v>7</v>
      </c>
      <c r="D972" s="291" t="s">
        <v>604</v>
      </c>
      <c r="E972" s="285"/>
      <c r="F972" s="159">
        <f t="shared" si="300"/>
        <v>125666.1</v>
      </c>
      <c r="G972" s="159"/>
      <c r="H972" s="522">
        <f t="shared" si="301"/>
        <v>120743</v>
      </c>
      <c r="I972" s="522"/>
      <c r="J972" s="522">
        <f t="shared" si="302"/>
        <v>122224</v>
      </c>
      <c r="K972" s="522"/>
      <c r="L972" s="154"/>
      <c r="N972" s="154"/>
      <c r="O972" s="154"/>
    </row>
    <row r="973" spans="1:15" s="177" customFormat="1" ht="31.5" x14ac:dyDescent="0.25">
      <c r="A973" s="253" t="s">
        <v>60</v>
      </c>
      <c r="B973" s="1">
        <v>11</v>
      </c>
      <c r="C973" s="4" t="s">
        <v>7</v>
      </c>
      <c r="D973" s="291" t="s">
        <v>604</v>
      </c>
      <c r="E973" s="285">
        <v>600</v>
      </c>
      <c r="F973" s="159">
        <f t="shared" si="300"/>
        <v>125666.1</v>
      </c>
      <c r="G973" s="159"/>
      <c r="H973" s="522">
        <f t="shared" si="301"/>
        <v>120743</v>
      </c>
      <c r="I973" s="522"/>
      <c r="J973" s="522">
        <f t="shared" si="302"/>
        <v>122224</v>
      </c>
      <c r="K973" s="522"/>
      <c r="L973" s="154"/>
      <c r="N973" s="154"/>
      <c r="O973" s="154"/>
    </row>
    <row r="974" spans="1:15" s="177" customFormat="1" x14ac:dyDescent="0.25">
      <c r="A974" s="273" t="s">
        <v>130</v>
      </c>
      <c r="B974" s="1">
        <v>11</v>
      </c>
      <c r="C974" s="4" t="s">
        <v>7</v>
      </c>
      <c r="D974" s="291" t="s">
        <v>604</v>
      </c>
      <c r="E974" s="285">
        <v>620</v>
      </c>
      <c r="F974" s="159">
        <f>'ведом. 2025-2027'!AD532</f>
        <v>125666.1</v>
      </c>
      <c r="G974" s="306"/>
      <c r="H974" s="522">
        <f>'ведом. 2025-2027'!AE532</f>
        <v>120743</v>
      </c>
      <c r="I974" s="522"/>
      <c r="J974" s="522">
        <f>'ведом. 2025-2027'!AF532</f>
        <v>122224</v>
      </c>
      <c r="K974" s="522"/>
      <c r="L974" s="154"/>
      <c r="N974" s="154"/>
      <c r="O974" s="154"/>
    </row>
    <row r="975" spans="1:15" s="138" customFormat="1" x14ac:dyDescent="0.25">
      <c r="A975" s="384" t="s">
        <v>436</v>
      </c>
      <c r="B975" s="182">
        <v>13</v>
      </c>
      <c r="C975" s="188"/>
      <c r="D975" s="280"/>
      <c r="E975" s="330"/>
      <c r="F975" s="161">
        <f>F977</f>
        <v>4534.5</v>
      </c>
      <c r="G975" s="347"/>
      <c r="H975" s="161">
        <f>H977</f>
        <v>40146.5</v>
      </c>
      <c r="I975" s="161"/>
      <c r="J975" s="161">
        <f>J977</f>
        <v>53573.599999999999</v>
      </c>
      <c r="K975" s="161"/>
      <c r="L975" s="154"/>
      <c r="N975" s="154"/>
      <c r="O975" s="154"/>
    </row>
    <row r="976" spans="1:15" s="177" customFormat="1" x14ac:dyDescent="0.25">
      <c r="A976" s="253" t="s">
        <v>437</v>
      </c>
      <c r="B976" s="11">
        <v>13</v>
      </c>
      <c r="C976" s="4" t="s">
        <v>29</v>
      </c>
      <c r="D976" s="156"/>
      <c r="E976" s="330"/>
      <c r="F976" s="159">
        <f>F977</f>
        <v>4534.5</v>
      </c>
      <c r="G976" s="306"/>
      <c r="H976" s="522">
        <f>H977</f>
        <v>40146.5</v>
      </c>
      <c r="I976" s="522"/>
      <c r="J976" s="522">
        <f>J977</f>
        <v>53573.599999999999</v>
      </c>
      <c r="K976" s="161"/>
      <c r="L976" s="154"/>
      <c r="N976" s="154"/>
      <c r="O976" s="154"/>
    </row>
    <row r="977" spans="1:15" s="138" customFormat="1" x14ac:dyDescent="0.25">
      <c r="A977" s="255" t="s">
        <v>186</v>
      </c>
      <c r="B977" s="11">
        <v>13</v>
      </c>
      <c r="C977" s="4" t="s">
        <v>29</v>
      </c>
      <c r="D977" s="156" t="s">
        <v>112</v>
      </c>
      <c r="E977" s="326"/>
      <c r="F977" s="159">
        <f>F981</f>
        <v>4534.5</v>
      </c>
      <c r="G977" s="306"/>
      <c r="H977" s="522">
        <f>H981</f>
        <v>40146.5</v>
      </c>
      <c r="I977" s="522"/>
      <c r="J977" s="522">
        <f>J981</f>
        <v>53573.599999999999</v>
      </c>
      <c r="K977" s="522"/>
      <c r="L977" s="154"/>
      <c r="M977" s="138" t="s">
        <v>360</v>
      </c>
      <c r="N977" s="154"/>
      <c r="O977" s="154"/>
    </row>
    <row r="978" spans="1:15" s="138" customFormat="1" x14ac:dyDescent="0.25">
      <c r="A978" s="259" t="s">
        <v>530</v>
      </c>
      <c r="B978" s="11">
        <v>13</v>
      </c>
      <c r="C978" s="4" t="s">
        <v>29</v>
      </c>
      <c r="D978" s="156" t="s">
        <v>404</v>
      </c>
      <c r="E978" s="326"/>
      <c r="F978" s="159">
        <f>F981</f>
        <v>4534.5</v>
      </c>
      <c r="G978" s="306"/>
      <c r="H978" s="522">
        <f>H981</f>
        <v>40146.5</v>
      </c>
      <c r="I978" s="522"/>
      <c r="J978" s="522">
        <f>J981</f>
        <v>53573.599999999999</v>
      </c>
      <c r="K978" s="522"/>
      <c r="L978" s="154"/>
      <c r="N978" s="154"/>
      <c r="O978" s="154"/>
    </row>
    <row r="979" spans="1:15" s="138" customFormat="1" ht="31.5" x14ac:dyDescent="0.25">
      <c r="A979" s="257" t="s">
        <v>531</v>
      </c>
      <c r="B979" s="11">
        <v>13</v>
      </c>
      <c r="C979" s="4" t="s">
        <v>29</v>
      </c>
      <c r="D979" s="156" t="s">
        <v>406</v>
      </c>
      <c r="E979" s="326"/>
      <c r="F979" s="159">
        <f>F980</f>
        <v>4534.5</v>
      </c>
      <c r="G979" s="306"/>
      <c r="H979" s="522">
        <f>H980</f>
        <v>40146.5</v>
      </c>
      <c r="I979" s="522"/>
      <c r="J979" s="522">
        <f>J980</f>
        <v>53573.599999999999</v>
      </c>
      <c r="K979" s="522"/>
      <c r="L979" s="154"/>
      <c r="N979" s="154"/>
      <c r="O979" s="154"/>
    </row>
    <row r="980" spans="1:15" s="138" customFormat="1" x14ac:dyDescent="0.25">
      <c r="A980" s="259" t="s">
        <v>188</v>
      </c>
      <c r="B980" s="11">
        <v>13</v>
      </c>
      <c r="C980" s="4" t="s">
        <v>29</v>
      </c>
      <c r="D980" s="156" t="s">
        <v>532</v>
      </c>
      <c r="E980" s="326"/>
      <c r="F980" s="159">
        <f>F981</f>
        <v>4534.5</v>
      </c>
      <c r="G980" s="306"/>
      <c r="H980" s="522">
        <f>H981</f>
        <v>40146.5</v>
      </c>
      <c r="I980" s="522"/>
      <c r="J980" s="522">
        <f>J981</f>
        <v>53573.599999999999</v>
      </c>
      <c r="K980" s="522"/>
      <c r="L980" s="154"/>
      <c r="N980" s="154"/>
      <c r="O980" s="154"/>
    </row>
    <row r="981" spans="1:15" s="138" customFormat="1" x14ac:dyDescent="0.25">
      <c r="A981" s="253" t="s">
        <v>67</v>
      </c>
      <c r="B981" s="11">
        <v>13</v>
      </c>
      <c r="C981" s="4" t="s">
        <v>29</v>
      </c>
      <c r="D981" s="156" t="s">
        <v>532</v>
      </c>
      <c r="E981" s="326">
        <v>700</v>
      </c>
      <c r="F981" s="159">
        <f>F982</f>
        <v>4534.5</v>
      </c>
      <c r="G981" s="306"/>
      <c r="H981" s="522">
        <f>H982</f>
        <v>40146.5</v>
      </c>
      <c r="I981" s="522"/>
      <c r="J981" s="522">
        <f>J982</f>
        <v>53573.599999999999</v>
      </c>
      <c r="K981" s="522"/>
      <c r="L981" s="154"/>
      <c r="N981" s="154"/>
      <c r="O981" s="154"/>
    </row>
    <row r="982" spans="1:15" s="138" customFormat="1" ht="17.25" thickBot="1" x14ac:dyDescent="0.3">
      <c r="A982" s="253" t="s">
        <v>354</v>
      </c>
      <c r="B982" s="11">
        <v>13</v>
      </c>
      <c r="C982" s="4" t="s">
        <v>29</v>
      </c>
      <c r="D982" s="156" t="s">
        <v>532</v>
      </c>
      <c r="E982" s="326">
        <v>730</v>
      </c>
      <c r="F982" s="164">
        <f>'ведом. 2025-2027'!AD540</f>
        <v>4534.5</v>
      </c>
      <c r="G982" s="353"/>
      <c r="H982" s="164">
        <f>'ведом. 2025-2027'!AE540</f>
        <v>40146.5</v>
      </c>
      <c r="I982" s="164"/>
      <c r="J982" s="164">
        <f>'ведом. 2025-2027'!AF540</f>
        <v>53573.599999999999</v>
      </c>
      <c r="K982" s="164"/>
      <c r="L982" s="154"/>
      <c r="N982" s="154"/>
      <c r="O982" s="154"/>
    </row>
    <row r="983" spans="1:15" s="138" customFormat="1" ht="17.25" thickBot="1" x14ac:dyDescent="0.3">
      <c r="A983" s="390" t="s">
        <v>56</v>
      </c>
      <c r="B983" s="190"/>
      <c r="C983" s="316"/>
      <c r="D983" s="323"/>
      <c r="E983" s="345"/>
      <c r="F983" s="307">
        <f t="shared" ref="F983:K983" si="303">F975+F953+F897+F825+F620+F397+F310+F238+F223+F15+F602+F889</f>
        <v>5439029.4000000004</v>
      </c>
      <c r="G983" s="307">
        <f t="shared" si="303"/>
        <v>2776931.2</v>
      </c>
      <c r="H983" s="307">
        <f t="shared" si="303"/>
        <v>3355666.3</v>
      </c>
      <c r="I983" s="307">
        <f t="shared" si="303"/>
        <v>1491831.4000000001</v>
      </c>
      <c r="J983" s="307">
        <f t="shared" si="303"/>
        <v>3189048.2</v>
      </c>
      <c r="K983" s="307">
        <f t="shared" si="303"/>
        <v>1312804.1000000001</v>
      </c>
      <c r="L983" s="154"/>
      <c r="N983" s="154"/>
      <c r="O983" s="154"/>
    </row>
    <row r="984" spans="1:15" x14ac:dyDescent="0.25">
      <c r="K984" s="146"/>
      <c r="O984" s="146"/>
    </row>
    <row r="985" spans="1:15" x14ac:dyDescent="0.25">
      <c r="J985" s="146"/>
      <c r="O985" s="146"/>
    </row>
    <row r="986" spans="1:15" x14ac:dyDescent="0.25">
      <c r="A986" s="170"/>
      <c r="B986" s="131"/>
      <c r="C986" s="131"/>
      <c r="D986" s="132"/>
      <c r="E986" s="131"/>
      <c r="G986" s="24"/>
      <c r="I986" s="24"/>
      <c r="J986" s="24"/>
      <c r="K986" s="24"/>
    </row>
    <row r="987" spans="1:15" x14ac:dyDescent="0.25">
      <c r="I987" s="24"/>
      <c r="J987" s="24"/>
    </row>
    <row r="988" spans="1:15" ht="12.75" x14ac:dyDescent="0.2">
      <c r="A988" s="129"/>
      <c r="B988" s="129"/>
      <c r="C988" s="129"/>
      <c r="D988" s="129"/>
      <c r="E988" s="129"/>
      <c r="F988" s="129"/>
      <c r="G988" s="129"/>
      <c r="H988" s="129"/>
      <c r="I988" s="129"/>
      <c r="J988" s="146"/>
    </row>
    <row r="989" spans="1:15" x14ac:dyDescent="0.25">
      <c r="J989" s="447"/>
    </row>
    <row r="990" spans="1:15" ht="12.75" x14ac:dyDescent="0.2">
      <c r="A990" s="129"/>
      <c r="B990" s="129"/>
      <c r="C990" s="129"/>
      <c r="D990" s="129"/>
      <c r="E990" s="129"/>
      <c r="F990" s="129"/>
      <c r="G990" s="129"/>
      <c r="H990" s="129"/>
      <c r="I990" s="129"/>
      <c r="J990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30"/>
  <sheetViews>
    <sheetView view="pageBreakPreview" topLeftCell="A769" zoomScale="88" zoomScaleNormal="75" zoomScaleSheetLayoutView="88" workbookViewId="0">
      <selection activeCell="A784" sqref="A78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6" t="s">
        <v>903</v>
      </c>
      <c r="E1" s="723"/>
      <c r="F1" s="723"/>
    </row>
    <row r="2" spans="1:38" s="519" customFormat="1" ht="162.75" customHeight="1" x14ac:dyDescent="0.25">
      <c r="A2" s="133"/>
      <c r="B2" s="168"/>
      <c r="C2" s="28"/>
      <c r="D2" s="727" t="s">
        <v>826</v>
      </c>
      <c r="E2" s="727"/>
      <c r="F2" s="727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6"/>
      <c r="C4" s="676"/>
      <c r="D4" s="726" t="s">
        <v>904</v>
      </c>
      <c r="E4" s="723"/>
      <c r="F4" s="723"/>
    </row>
    <row r="5" spans="1:38" s="519" customFormat="1" ht="111" customHeight="1" x14ac:dyDescent="0.2">
      <c r="A5" s="133"/>
      <c r="B5" s="579"/>
      <c r="C5" s="677"/>
      <c r="D5" s="727" t="s">
        <v>825</v>
      </c>
      <c r="E5" s="728"/>
      <c r="F5" s="728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9" t="s">
        <v>784</v>
      </c>
      <c r="B8" s="729"/>
      <c r="C8" s="729"/>
      <c r="D8" s="730"/>
      <c r="E8" s="730"/>
      <c r="F8" s="731"/>
      <c r="AL8" s="519" t="s">
        <v>360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434</v>
      </c>
      <c r="E11" s="581" t="s">
        <v>615</v>
      </c>
      <c r="F11" s="581" t="s">
        <v>644</v>
      </c>
      <c r="G11" s="202"/>
      <c r="H11" s="202"/>
      <c r="I11" s="202"/>
    </row>
    <row r="12" spans="1:38" ht="23.25" customHeight="1" thickBot="1" x14ac:dyDescent="0.3">
      <c r="A12" s="582">
        <v>1</v>
      </c>
      <c r="B12" s="590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573</v>
      </c>
      <c r="I12" s="130"/>
    </row>
    <row r="13" spans="1:38" s="519" customFormat="1" ht="24" customHeight="1" x14ac:dyDescent="0.25">
      <c r="A13" s="588" t="s">
        <v>761</v>
      </c>
      <c r="B13" s="611" t="s">
        <v>762</v>
      </c>
      <c r="C13" s="589"/>
      <c r="D13" s="714">
        <f>D14</f>
        <v>650</v>
      </c>
      <c r="E13" s="714">
        <f t="shared" ref="E13:F13" si="0">E14</f>
        <v>0</v>
      </c>
      <c r="F13" s="714">
        <f t="shared" si="0"/>
        <v>0</v>
      </c>
      <c r="G13" s="170"/>
      <c r="H13" s="583"/>
      <c r="I13" s="584"/>
    </row>
    <row r="14" spans="1:38" s="519" customFormat="1" x14ac:dyDescent="0.25">
      <c r="A14" s="451" t="s">
        <v>763</v>
      </c>
      <c r="B14" s="612" t="s">
        <v>764</v>
      </c>
      <c r="C14" s="585"/>
      <c r="D14" s="715">
        <f>D15</f>
        <v>650</v>
      </c>
      <c r="E14" s="715">
        <f t="shared" ref="E14:F14" si="1">E15</f>
        <v>0</v>
      </c>
      <c r="F14" s="715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765</v>
      </c>
      <c r="B15" s="612" t="s">
        <v>766</v>
      </c>
      <c r="C15" s="585"/>
      <c r="D15" s="715">
        <f>D16</f>
        <v>650</v>
      </c>
      <c r="E15" s="715">
        <f t="shared" ref="E15:AD15" si="2">E16</f>
        <v>0</v>
      </c>
      <c r="F15" s="715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768</v>
      </c>
      <c r="B16" s="612" t="s">
        <v>767</v>
      </c>
      <c r="C16" s="585"/>
      <c r="D16" s="715">
        <f>D17</f>
        <v>650</v>
      </c>
      <c r="E16" s="715">
        <f t="shared" ref="E16:F16" si="3">E17</f>
        <v>0</v>
      </c>
      <c r="F16" s="715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2" t="s">
        <v>767</v>
      </c>
      <c r="C17" s="585">
        <v>300</v>
      </c>
      <c r="D17" s="715">
        <f>D18</f>
        <v>650</v>
      </c>
      <c r="E17" s="715">
        <f t="shared" ref="E17:F17" si="4">E18</f>
        <v>0</v>
      </c>
      <c r="F17" s="715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2" t="s">
        <v>767</v>
      </c>
      <c r="C18" s="585">
        <v>320</v>
      </c>
      <c r="D18" s="715">
        <f>'Функц. 2025-2027'!F896</f>
        <v>650</v>
      </c>
      <c r="E18" s="715">
        <f>'Функц. 2025-2027'!H896</f>
        <v>0</v>
      </c>
      <c r="F18" s="715">
        <f>'Функц. 2025-2027'!J896</f>
        <v>0</v>
      </c>
      <c r="G18" s="170"/>
      <c r="H18" s="583"/>
      <c r="I18" s="584"/>
    </row>
    <row r="19" spans="1:30" s="134" customFormat="1" x14ac:dyDescent="0.25">
      <c r="A19" s="587" t="s">
        <v>572</v>
      </c>
      <c r="B19" s="613" t="s">
        <v>114</v>
      </c>
      <c r="C19" s="591"/>
      <c r="D19" s="439">
        <f>D25+D34+D49+D75+D20</f>
        <v>278251.30000000005</v>
      </c>
      <c r="E19" s="439">
        <f>E25+E34+E49+E75</f>
        <v>190480</v>
      </c>
      <c r="F19" s="439">
        <f>F25+F34+F49+F75</f>
        <v>174769.90000000002</v>
      </c>
      <c r="G19" s="152"/>
    </row>
    <row r="20" spans="1:30" s="513" customFormat="1" ht="47.25" x14ac:dyDescent="0.25">
      <c r="A20" s="255" t="s">
        <v>874</v>
      </c>
      <c r="B20" s="542" t="s">
        <v>875</v>
      </c>
      <c r="C20" s="482"/>
      <c r="D20" s="140">
        <f>D21</f>
        <v>570</v>
      </c>
      <c r="E20" s="140">
        <f t="shared" ref="E20:F20" si="5">E21</f>
        <v>0</v>
      </c>
      <c r="F20" s="140">
        <f t="shared" si="5"/>
        <v>0</v>
      </c>
      <c r="G20" s="520"/>
    </row>
    <row r="21" spans="1:30" s="513" customFormat="1" ht="31.5" x14ac:dyDescent="0.25">
      <c r="A21" s="255" t="s">
        <v>872</v>
      </c>
      <c r="B21" s="542" t="s">
        <v>876</v>
      </c>
      <c r="C21" s="482"/>
      <c r="D21" s="140">
        <f>D22</f>
        <v>570</v>
      </c>
      <c r="E21" s="140">
        <f t="shared" ref="E21:F21" si="6">E22</f>
        <v>0</v>
      </c>
      <c r="F21" s="140">
        <f t="shared" si="6"/>
        <v>0</v>
      </c>
      <c r="G21" s="520"/>
    </row>
    <row r="22" spans="1:30" s="513" customFormat="1" ht="31.5" x14ac:dyDescent="0.25">
      <c r="A22" s="255" t="s">
        <v>873</v>
      </c>
      <c r="B22" s="542" t="s">
        <v>877</v>
      </c>
      <c r="C22" s="482"/>
      <c r="D22" s="140">
        <f>D23</f>
        <v>570</v>
      </c>
      <c r="E22" s="140">
        <f t="shared" ref="E22:F22" si="7">E23</f>
        <v>0</v>
      </c>
      <c r="F22" s="140">
        <f t="shared" si="7"/>
        <v>0</v>
      </c>
      <c r="G22" s="520"/>
    </row>
    <row r="23" spans="1:30" s="513" customFormat="1" ht="31.5" x14ac:dyDescent="0.25">
      <c r="A23" s="255" t="s">
        <v>60</v>
      </c>
      <c r="B23" s="542" t="s">
        <v>877</v>
      </c>
      <c r="C23" s="482">
        <v>600</v>
      </c>
      <c r="D23" s="140">
        <f>D24</f>
        <v>570</v>
      </c>
      <c r="E23" s="140">
        <f t="shared" ref="E23:F23" si="8">E24</f>
        <v>0</v>
      </c>
      <c r="F23" s="140">
        <f t="shared" si="8"/>
        <v>0</v>
      </c>
      <c r="G23" s="520"/>
    </row>
    <row r="24" spans="1:30" s="513" customFormat="1" x14ac:dyDescent="0.25">
      <c r="A24" s="255" t="s">
        <v>61</v>
      </c>
      <c r="B24" s="542" t="s">
        <v>877</v>
      </c>
      <c r="C24" s="482">
        <v>610</v>
      </c>
      <c r="D24" s="140">
        <f>'Функц. 2025-2027'!F832</f>
        <v>570</v>
      </c>
      <c r="E24" s="140">
        <f>'Функц. 2025-2027'!H832</f>
        <v>0</v>
      </c>
      <c r="F24" s="140">
        <f>'Функц. 2025-2027'!J832</f>
        <v>0</v>
      </c>
      <c r="G24" s="520"/>
    </row>
    <row r="25" spans="1:30" x14ac:dyDescent="0.25">
      <c r="A25" s="255" t="s">
        <v>489</v>
      </c>
      <c r="B25" s="156" t="s">
        <v>313</v>
      </c>
      <c r="C25" s="407"/>
      <c r="D25" s="27">
        <f>D26+D31</f>
        <v>30948.6</v>
      </c>
      <c r="E25" s="517">
        <f t="shared" ref="E25:F25" si="9">E26+E31</f>
        <v>29355.8</v>
      </c>
      <c r="F25" s="517">
        <f t="shared" si="9"/>
        <v>29511.7</v>
      </c>
      <c r="G25" s="490" t="e">
        <f>G26+#REF!</f>
        <v>#REF!</v>
      </c>
      <c r="H25" s="490" t="e">
        <f>H26+#REF!</f>
        <v>#REF!</v>
      </c>
      <c r="I25" s="490" t="e">
        <f>I26+#REF!</f>
        <v>#REF!</v>
      </c>
      <c r="J25" s="490" t="e">
        <f>J26+#REF!</f>
        <v>#REF!</v>
      </c>
      <c r="K25" s="490" t="e">
        <f>K26+#REF!</f>
        <v>#REF!</v>
      </c>
      <c r="L25" s="490" t="e">
        <f>L26+#REF!</f>
        <v>#REF!</v>
      </c>
      <c r="M25" s="490" t="e">
        <f>M26+#REF!</f>
        <v>#REF!</v>
      </c>
      <c r="N25" s="490" t="e">
        <f>N26+#REF!</f>
        <v>#REF!</v>
      </c>
      <c r="O25" s="490" t="e">
        <f>O26+#REF!</f>
        <v>#REF!</v>
      </c>
      <c r="P25" s="490" t="e">
        <f>P26+#REF!</f>
        <v>#REF!</v>
      </c>
      <c r="Q25" s="490" t="e">
        <f>Q26+#REF!</f>
        <v>#REF!</v>
      </c>
      <c r="R25" s="490" t="e">
        <f>R26+#REF!</f>
        <v>#REF!</v>
      </c>
      <c r="S25" s="490" t="e">
        <f>S26+#REF!</f>
        <v>#REF!</v>
      </c>
      <c r="T25" s="490" t="e">
        <f>T26+#REF!</f>
        <v>#REF!</v>
      </c>
      <c r="U25" s="490" t="e">
        <f>U26+#REF!</f>
        <v>#REF!</v>
      </c>
      <c r="V25" s="490" t="e">
        <f>V26+#REF!</f>
        <v>#REF!</v>
      </c>
      <c r="W25" s="490" t="e">
        <f>W26+#REF!</f>
        <v>#REF!</v>
      </c>
      <c r="X25" s="490" t="e">
        <f>X26+#REF!</f>
        <v>#REF!</v>
      </c>
      <c r="Y25" s="490" t="e">
        <f>Y26+#REF!</f>
        <v>#REF!</v>
      </c>
      <c r="Z25" s="490" t="e">
        <f>Z26+#REF!</f>
        <v>#REF!</v>
      </c>
      <c r="AA25" s="490" t="e">
        <f>AA26+#REF!</f>
        <v>#REF!</v>
      </c>
      <c r="AB25" s="490" t="e">
        <f>AB26+#REF!</f>
        <v>#REF!</v>
      </c>
      <c r="AC25" s="490" t="e">
        <f>AC26+#REF!</f>
        <v>#REF!</v>
      </c>
      <c r="AD25" s="490" t="e">
        <f>AD26+#REF!</f>
        <v>#REF!</v>
      </c>
    </row>
    <row r="26" spans="1:30" x14ac:dyDescent="0.25">
      <c r="A26" s="271" t="s">
        <v>314</v>
      </c>
      <c r="B26" s="156" t="s">
        <v>315</v>
      </c>
      <c r="C26" s="407"/>
      <c r="D26" s="27">
        <f t="shared" ref="D26:F28" si="10">D27</f>
        <v>30548.6</v>
      </c>
      <c r="E26" s="27">
        <f t="shared" si="10"/>
        <v>29355.8</v>
      </c>
      <c r="F26" s="27">
        <f t="shared" si="10"/>
        <v>29511.7</v>
      </c>
      <c r="G26" s="152"/>
    </row>
    <row r="27" spans="1:30" ht="31.5" x14ac:dyDescent="0.25">
      <c r="A27" s="391" t="s">
        <v>252</v>
      </c>
      <c r="B27" s="156" t="s">
        <v>253</v>
      </c>
      <c r="C27" s="407"/>
      <c r="D27" s="27">
        <f t="shared" si="10"/>
        <v>30548.6</v>
      </c>
      <c r="E27" s="27">
        <f t="shared" si="10"/>
        <v>29355.8</v>
      </c>
      <c r="F27" s="27">
        <f t="shared" si="10"/>
        <v>29511.7</v>
      </c>
      <c r="G27" s="152"/>
    </row>
    <row r="28" spans="1:30" ht="31.5" x14ac:dyDescent="0.25">
      <c r="A28" s="273" t="s">
        <v>60</v>
      </c>
      <c r="B28" s="156" t="s">
        <v>253</v>
      </c>
      <c r="C28" s="444">
        <v>600</v>
      </c>
      <c r="D28" s="27">
        <f t="shared" si="10"/>
        <v>30548.6</v>
      </c>
      <c r="E28" s="27">
        <f t="shared" si="10"/>
        <v>29355.8</v>
      </c>
      <c r="F28" s="27">
        <f t="shared" si="10"/>
        <v>29511.7</v>
      </c>
      <c r="G28" s="152"/>
    </row>
    <row r="29" spans="1:30" x14ac:dyDescent="0.25">
      <c r="A29" s="273" t="s">
        <v>61</v>
      </c>
      <c r="B29" s="156" t="s">
        <v>253</v>
      </c>
      <c r="C29" s="444">
        <v>610</v>
      </c>
      <c r="D29" s="27">
        <f>'Функц. 2025-2027'!F837</f>
        <v>30548.6</v>
      </c>
      <c r="E29" s="27">
        <f>'Функц. 2025-2027'!H837</f>
        <v>29355.8</v>
      </c>
      <c r="F29" s="27">
        <f>'Функц. 2025-2027'!J837</f>
        <v>29511.7</v>
      </c>
      <c r="G29" s="152"/>
    </row>
    <row r="30" spans="1:30" s="519" customFormat="1" ht="31.5" x14ac:dyDescent="0.25">
      <c r="A30" s="451" t="s">
        <v>800</v>
      </c>
      <c r="B30" s="542" t="s">
        <v>803</v>
      </c>
      <c r="C30" s="477"/>
      <c r="D30" s="517">
        <f>D31</f>
        <v>400</v>
      </c>
      <c r="E30" s="517">
        <f t="shared" ref="E30:F32" si="11">E31</f>
        <v>0</v>
      </c>
      <c r="F30" s="517">
        <f t="shared" si="11"/>
        <v>0</v>
      </c>
      <c r="G30" s="520"/>
    </row>
    <row r="31" spans="1:30" s="519" customFormat="1" x14ac:dyDescent="0.25">
      <c r="A31" s="451" t="s">
        <v>801</v>
      </c>
      <c r="B31" s="542" t="s">
        <v>802</v>
      </c>
      <c r="C31" s="706"/>
      <c r="D31" s="517">
        <f>D32</f>
        <v>400</v>
      </c>
      <c r="E31" s="517">
        <f t="shared" si="11"/>
        <v>0</v>
      </c>
      <c r="F31" s="517">
        <f t="shared" si="11"/>
        <v>0</v>
      </c>
      <c r="G31" s="520"/>
    </row>
    <row r="32" spans="1:30" s="519" customFormat="1" ht="31.5" x14ac:dyDescent="0.25">
      <c r="A32" s="451" t="s">
        <v>60</v>
      </c>
      <c r="B32" s="542" t="s">
        <v>802</v>
      </c>
      <c r="C32" s="453">
        <v>600</v>
      </c>
      <c r="D32" s="517">
        <f>D33</f>
        <v>400</v>
      </c>
      <c r="E32" s="517">
        <f t="shared" si="11"/>
        <v>0</v>
      </c>
      <c r="F32" s="517">
        <f t="shared" si="11"/>
        <v>0</v>
      </c>
      <c r="G32" s="520"/>
    </row>
    <row r="33" spans="1:7" s="519" customFormat="1" x14ac:dyDescent="0.25">
      <c r="A33" s="451" t="s">
        <v>61</v>
      </c>
      <c r="B33" s="542" t="s">
        <v>802</v>
      </c>
      <c r="C33" s="453">
        <v>610</v>
      </c>
      <c r="D33" s="517">
        <f>'Функц. 2025-2027'!F841</f>
        <v>400</v>
      </c>
      <c r="E33" s="517">
        <f>'Функц. 2025-2027'!H841</f>
        <v>0</v>
      </c>
      <c r="F33" s="517">
        <f>'Функц. 2025-2027'!J841</f>
        <v>0</v>
      </c>
      <c r="G33" s="520"/>
    </row>
    <row r="34" spans="1:7" x14ac:dyDescent="0.25">
      <c r="A34" s="271" t="s">
        <v>490</v>
      </c>
      <c r="B34" s="156" t="s">
        <v>140</v>
      </c>
      <c r="C34" s="592"/>
      <c r="D34" s="27">
        <f>D35+D45</f>
        <v>39268.299999999996</v>
      </c>
      <c r="E34" s="517">
        <f t="shared" ref="E34:F34" si="12">E35+E45</f>
        <v>37183.199999999997</v>
      </c>
      <c r="F34" s="517">
        <f t="shared" si="12"/>
        <v>37369.700000000004</v>
      </c>
      <c r="G34" s="152"/>
    </row>
    <row r="35" spans="1:7" ht="31.5" x14ac:dyDescent="0.25">
      <c r="A35" s="271" t="s">
        <v>254</v>
      </c>
      <c r="B35" s="156" t="s">
        <v>141</v>
      </c>
      <c r="C35" s="444"/>
      <c r="D35" s="27">
        <f>D36+D39+D42</f>
        <v>38268.299999999996</v>
      </c>
      <c r="E35" s="27">
        <f>E36+E39+E42</f>
        <v>37183.199999999997</v>
      </c>
      <c r="F35" s="27">
        <f>F36+F39+F42</f>
        <v>37369.700000000004</v>
      </c>
      <c r="G35" s="152"/>
    </row>
    <row r="36" spans="1:7" ht="31.5" x14ac:dyDescent="0.25">
      <c r="A36" s="391" t="s">
        <v>748</v>
      </c>
      <c r="B36" s="156" t="s">
        <v>255</v>
      </c>
      <c r="C36" s="444"/>
      <c r="D36" s="27">
        <f t="shared" ref="D36:F37" si="13">D37</f>
        <v>1000</v>
      </c>
      <c r="E36" s="27">
        <f t="shared" si="13"/>
        <v>1000</v>
      </c>
      <c r="F36" s="27">
        <f t="shared" si="13"/>
        <v>1000</v>
      </c>
      <c r="G36" s="152"/>
    </row>
    <row r="37" spans="1:7" ht="31.5" x14ac:dyDescent="0.25">
      <c r="A37" s="273" t="s">
        <v>60</v>
      </c>
      <c r="B37" s="156" t="s">
        <v>255</v>
      </c>
      <c r="C37" s="444">
        <v>600</v>
      </c>
      <c r="D37" s="27">
        <f t="shared" si="13"/>
        <v>1000</v>
      </c>
      <c r="E37" s="27">
        <f t="shared" si="13"/>
        <v>1000</v>
      </c>
      <c r="F37" s="27">
        <f t="shared" si="13"/>
        <v>1000</v>
      </c>
      <c r="G37" s="152"/>
    </row>
    <row r="38" spans="1:7" x14ac:dyDescent="0.25">
      <c r="A38" s="273" t="s">
        <v>61</v>
      </c>
      <c r="B38" s="156" t="s">
        <v>255</v>
      </c>
      <c r="C38" s="444">
        <v>610</v>
      </c>
      <c r="D38" s="27">
        <f>'Функц. 2025-2027'!F846</f>
        <v>1000</v>
      </c>
      <c r="E38" s="27">
        <f>'Функц. 2025-2027'!H846</f>
        <v>1000</v>
      </c>
      <c r="F38" s="27">
        <f>'Функц. 2025-2027'!J846</f>
        <v>1000</v>
      </c>
      <c r="G38" s="152"/>
    </row>
    <row r="39" spans="1:7" ht="31.5" x14ac:dyDescent="0.25">
      <c r="A39" s="273" t="s">
        <v>256</v>
      </c>
      <c r="B39" s="156" t="s">
        <v>257</v>
      </c>
      <c r="C39" s="444"/>
      <c r="D39" s="27">
        <f t="shared" ref="D39:F40" si="14">D40</f>
        <v>36893.599999999999</v>
      </c>
      <c r="E39" s="27">
        <f t="shared" si="14"/>
        <v>35800.5</v>
      </c>
      <c r="F39" s="27">
        <f t="shared" si="14"/>
        <v>35991.4</v>
      </c>
      <c r="G39" s="152"/>
    </row>
    <row r="40" spans="1:7" ht="31.5" x14ac:dyDescent="0.25">
      <c r="A40" s="273" t="s">
        <v>60</v>
      </c>
      <c r="B40" s="156" t="s">
        <v>257</v>
      </c>
      <c r="C40" s="444">
        <v>600</v>
      </c>
      <c r="D40" s="27">
        <f t="shared" si="14"/>
        <v>36893.599999999999</v>
      </c>
      <c r="E40" s="27">
        <f t="shared" si="14"/>
        <v>35800.5</v>
      </c>
      <c r="F40" s="27">
        <f t="shared" si="14"/>
        <v>35991.4</v>
      </c>
      <c r="G40" s="152"/>
    </row>
    <row r="41" spans="1:7" x14ac:dyDescent="0.25">
      <c r="A41" s="273" t="s">
        <v>61</v>
      </c>
      <c r="B41" s="156" t="s">
        <v>257</v>
      </c>
      <c r="C41" s="444">
        <v>610</v>
      </c>
      <c r="D41" s="27">
        <f>'Функц. 2025-2027'!F849</f>
        <v>36893.599999999999</v>
      </c>
      <c r="E41" s="27">
        <f>'Функц. 2025-2027'!H849</f>
        <v>35800.5</v>
      </c>
      <c r="F41" s="27">
        <f>'Функц. 2025-2027'!J849</f>
        <v>35991.4</v>
      </c>
      <c r="G41" s="152"/>
    </row>
    <row r="42" spans="1:7" s="177" customFormat="1" ht="31.5" x14ac:dyDescent="0.25">
      <c r="A42" s="375" t="s">
        <v>500</v>
      </c>
      <c r="B42" s="156" t="s">
        <v>398</v>
      </c>
      <c r="C42" s="444"/>
      <c r="D42" s="27">
        <f t="shared" ref="D42:F43" si="15">D43</f>
        <v>374.70000000000005</v>
      </c>
      <c r="E42" s="27">
        <f t="shared" si="15"/>
        <v>382.7</v>
      </c>
      <c r="F42" s="27">
        <f t="shared" si="15"/>
        <v>378.3</v>
      </c>
      <c r="G42" s="152"/>
    </row>
    <row r="43" spans="1:7" s="177" customFormat="1" ht="31.5" x14ac:dyDescent="0.25">
      <c r="A43" s="375" t="s">
        <v>60</v>
      </c>
      <c r="B43" s="156" t="s">
        <v>398</v>
      </c>
      <c r="C43" s="444">
        <v>600</v>
      </c>
      <c r="D43" s="27">
        <f t="shared" si="15"/>
        <v>374.70000000000005</v>
      </c>
      <c r="E43" s="27">
        <f t="shared" si="15"/>
        <v>382.7</v>
      </c>
      <c r="F43" s="27">
        <f t="shared" si="15"/>
        <v>378.3</v>
      </c>
      <c r="G43" s="152"/>
    </row>
    <row r="44" spans="1:7" s="177" customFormat="1" x14ac:dyDescent="0.25">
      <c r="A44" s="375" t="s">
        <v>61</v>
      </c>
      <c r="B44" s="156" t="s">
        <v>398</v>
      </c>
      <c r="C44" s="444">
        <v>610</v>
      </c>
      <c r="D44" s="27">
        <f>'Функц. 2025-2027'!F852</f>
        <v>374.70000000000005</v>
      </c>
      <c r="E44" s="27">
        <f>'Функц. 2025-2027'!H852</f>
        <v>382.7</v>
      </c>
      <c r="F44" s="27">
        <f>'Функц. 2025-2027'!J852</f>
        <v>378.3</v>
      </c>
      <c r="G44" s="152"/>
    </row>
    <row r="45" spans="1:7" s="519" customFormat="1" ht="31.5" x14ac:dyDescent="0.25">
      <c r="A45" s="651" t="s">
        <v>868</v>
      </c>
      <c r="B45" s="542" t="s">
        <v>870</v>
      </c>
      <c r="C45" s="454"/>
      <c r="D45" s="517">
        <f>D46</f>
        <v>1000</v>
      </c>
      <c r="E45" s="517">
        <f t="shared" ref="E45:F46" si="16">E46</f>
        <v>0</v>
      </c>
      <c r="F45" s="517">
        <f t="shared" si="16"/>
        <v>0</v>
      </c>
      <c r="G45" s="520"/>
    </row>
    <row r="46" spans="1:7" s="519" customFormat="1" x14ac:dyDescent="0.25">
      <c r="A46" s="651" t="s">
        <v>869</v>
      </c>
      <c r="B46" s="542" t="s">
        <v>871</v>
      </c>
      <c r="C46" s="454"/>
      <c r="D46" s="517">
        <f>D47</f>
        <v>1000</v>
      </c>
      <c r="E46" s="517">
        <f t="shared" si="16"/>
        <v>0</v>
      </c>
      <c r="F46" s="517">
        <f t="shared" si="16"/>
        <v>0</v>
      </c>
      <c r="G46" s="520"/>
    </row>
    <row r="47" spans="1:7" s="519" customFormat="1" ht="31.5" x14ac:dyDescent="0.25">
      <c r="A47" s="651" t="s">
        <v>60</v>
      </c>
      <c r="B47" s="542" t="s">
        <v>871</v>
      </c>
      <c r="C47" s="454">
        <v>600</v>
      </c>
      <c r="D47" s="517">
        <f>D48</f>
        <v>1000</v>
      </c>
      <c r="E47" s="517">
        <f t="shared" ref="E47:F47" si="17">E48</f>
        <v>0</v>
      </c>
      <c r="F47" s="517">
        <f t="shared" si="17"/>
        <v>0</v>
      </c>
      <c r="G47" s="520"/>
    </row>
    <row r="48" spans="1:7" s="519" customFormat="1" x14ac:dyDescent="0.25">
      <c r="A48" s="651" t="s">
        <v>61</v>
      </c>
      <c r="B48" s="542" t="s">
        <v>871</v>
      </c>
      <c r="C48" s="454">
        <v>610</v>
      </c>
      <c r="D48" s="517">
        <f>'Функц. 2025-2027'!F856</f>
        <v>1000</v>
      </c>
      <c r="E48" s="517">
        <f>'Функц. 2025-2027'!H856</f>
        <v>0</v>
      </c>
      <c r="F48" s="517">
        <f>'Функц. 2025-2027'!J856</f>
        <v>0</v>
      </c>
      <c r="G48" s="520"/>
    </row>
    <row r="49" spans="1:30" ht="31.5" x14ac:dyDescent="0.25">
      <c r="A49" s="255" t="s">
        <v>491</v>
      </c>
      <c r="B49" s="156" t="s">
        <v>258</v>
      </c>
      <c r="C49" s="444"/>
      <c r="D49" s="27">
        <f>D50+D71+D67</f>
        <v>126570.8</v>
      </c>
      <c r="E49" s="517">
        <f>E50+E71+E67</f>
        <v>80085</v>
      </c>
      <c r="F49" s="517">
        <f>F50+F71+F67</f>
        <v>64032.5</v>
      </c>
      <c r="G49" s="152"/>
    </row>
    <row r="50" spans="1:30" x14ac:dyDescent="0.25">
      <c r="A50" s="255" t="s">
        <v>352</v>
      </c>
      <c r="B50" s="156" t="s">
        <v>492</v>
      </c>
      <c r="C50" s="444"/>
      <c r="D50" s="27">
        <f>D51+D60</f>
        <v>119130.3</v>
      </c>
      <c r="E50" s="27">
        <f>E51+E60</f>
        <v>79739.5</v>
      </c>
      <c r="F50" s="27">
        <f>F51+F60</f>
        <v>64032.5</v>
      </c>
      <c r="G50" s="152"/>
    </row>
    <row r="51" spans="1:30" x14ac:dyDescent="0.25">
      <c r="A51" s="391" t="s">
        <v>259</v>
      </c>
      <c r="B51" s="156" t="s">
        <v>551</v>
      </c>
      <c r="C51" s="444"/>
      <c r="D51" s="27">
        <f>D52+D57</f>
        <v>25585</v>
      </c>
      <c r="E51" s="27">
        <f>E52+E57</f>
        <v>130</v>
      </c>
      <c r="F51" s="27">
        <f>F52+F57</f>
        <v>0</v>
      </c>
      <c r="G51" s="152"/>
    </row>
    <row r="52" spans="1:30" ht="31.5" x14ac:dyDescent="0.25">
      <c r="A52" s="273" t="s">
        <v>260</v>
      </c>
      <c r="B52" s="156" t="s">
        <v>552</v>
      </c>
      <c r="C52" s="444"/>
      <c r="D52" s="27">
        <f>D55+D53</f>
        <v>25050</v>
      </c>
      <c r="E52" s="517">
        <f t="shared" ref="E52:AD52" si="18">E55+E53</f>
        <v>130</v>
      </c>
      <c r="F52" s="517">
        <f t="shared" si="18"/>
        <v>0</v>
      </c>
      <c r="G52" s="517">
        <f t="shared" si="18"/>
        <v>0</v>
      </c>
      <c r="H52" s="517">
        <f t="shared" si="18"/>
        <v>0</v>
      </c>
      <c r="I52" s="517">
        <f t="shared" si="18"/>
        <v>0</v>
      </c>
      <c r="J52" s="517">
        <f t="shared" si="18"/>
        <v>0</v>
      </c>
      <c r="K52" s="517">
        <f t="shared" si="18"/>
        <v>0</v>
      </c>
      <c r="L52" s="517">
        <f t="shared" si="18"/>
        <v>0</v>
      </c>
      <c r="M52" s="517">
        <f t="shared" si="18"/>
        <v>0</v>
      </c>
      <c r="N52" s="517">
        <f t="shared" si="18"/>
        <v>0</v>
      </c>
      <c r="O52" s="517">
        <f t="shared" si="18"/>
        <v>0</v>
      </c>
      <c r="P52" s="517">
        <f t="shared" si="18"/>
        <v>0</v>
      </c>
      <c r="Q52" s="517">
        <f t="shared" si="18"/>
        <v>0</v>
      </c>
      <c r="R52" s="517">
        <f t="shared" si="18"/>
        <v>0</v>
      </c>
      <c r="S52" s="517">
        <f t="shared" si="18"/>
        <v>0</v>
      </c>
      <c r="T52" s="517">
        <f t="shared" si="18"/>
        <v>0</v>
      </c>
      <c r="U52" s="517">
        <f t="shared" si="18"/>
        <v>0</v>
      </c>
      <c r="V52" s="517">
        <f t="shared" si="18"/>
        <v>0</v>
      </c>
      <c r="W52" s="517">
        <f t="shared" si="18"/>
        <v>0</v>
      </c>
      <c r="X52" s="517">
        <f t="shared" si="18"/>
        <v>0</v>
      </c>
      <c r="Y52" s="517">
        <f t="shared" si="18"/>
        <v>0</v>
      </c>
      <c r="Z52" s="517">
        <f t="shared" si="18"/>
        <v>0</v>
      </c>
      <c r="AA52" s="517">
        <f t="shared" si="18"/>
        <v>0</v>
      </c>
      <c r="AB52" s="517">
        <f t="shared" si="18"/>
        <v>0</v>
      </c>
      <c r="AC52" s="517">
        <f t="shared" si="18"/>
        <v>0</v>
      </c>
      <c r="AD52" s="517">
        <f t="shared" si="18"/>
        <v>0</v>
      </c>
    </row>
    <row r="53" spans="1:30" s="519" customFormat="1" x14ac:dyDescent="0.25">
      <c r="A53" s="375" t="s">
        <v>120</v>
      </c>
      <c r="B53" s="156" t="s">
        <v>552</v>
      </c>
      <c r="C53" s="444">
        <v>200</v>
      </c>
      <c r="D53" s="517">
        <f>D54</f>
        <v>6030</v>
      </c>
      <c r="E53" s="517">
        <f t="shared" ref="E53:F53" si="19">E54</f>
        <v>130</v>
      </c>
      <c r="F53" s="517">
        <f t="shared" si="19"/>
        <v>0</v>
      </c>
      <c r="G53" s="520"/>
    </row>
    <row r="54" spans="1:30" s="519" customFormat="1" x14ac:dyDescent="0.25">
      <c r="A54" s="375" t="s">
        <v>52</v>
      </c>
      <c r="B54" s="156" t="s">
        <v>552</v>
      </c>
      <c r="C54" s="444">
        <v>240</v>
      </c>
      <c r="D54" s="517">
        <f>'Функц. 2025-2027'!F862</f>
        <v>6030</v>
      </c>
      <c r="E54" s="517">
        <f>'Функц. 2025-2027'!H862</f>
        <v>130</v>
      </c>
      <c r="F54" s="517">
        <f>'Функц. 2025-2027'!J862</f>
        <v>0</v>
      </c>
      <c r="G54" s="520"/>
    </row>
    <row r="55" spans="1:30" ht="31.5" x14ac:dyDescent="0.25">
      <c r="A55" s="273" t="s">
        <v>60</v>
      </c>
      <c r="B55" s="156" t="s">
        <v>552</v>
      </c>
      <c r="C55" s="444">
        <v>600</v>
      </c>
      <c r="D55" s="27">
        <f>D56</f>
        <v>19020</v>
      </c>
      <c r="E55" s="27">
        <f>E56</f>
        <v>0</v>
      </c>
      <c r="F55" s="27">
        <f>F56</f>
        <v>0</v>
      </c>
      <c r="G55" s="152"/>
    </row>
    <row r="56" spans="1:30" x14ac:dyDescent="0.25">
      <c r="A56" s="273" t="s">
        <v>61</v>
      </c>
      <c r="B56" s="156" t="s">
        <v>552</v>
      </c>
      <c r="C56" s="444">
        <v>610</v>
      </c>
      <c r="D56" s="27">
        <f>'Функц. 2025-2027'!F864</f>
        <v>19020</v>
      </c>
      <c r="E56" s="27">
        <f>'Функц. 2025-2027'!H864</f>
        <v>0</v>
      </c>
      <c r="F56" s="27">
        <f>'Функц. 2025-2027'!J864</f>
        <v>0</v>
      </c>
      <c r="G56" s="152"/>
    </row>
    <row r="57" spans="1:30" ht="21.75" customHeight="1" x14ac:dyDescent="0.25">
      <c r="A57" s="523" t="s">
        <v>261</v>
      </c>
      <c r="B57" s="156" t="s">
        <v>553</v>
      </c>
      <c r="C57" s="444"/>
      <c r="D57" s="27">
        <f t="shared" ref="D57:F58" si="20">D58</f>
        <v>535</v>
      </c>
      <c r="E57" s="27">
        <f t="shared" si="20"/>
        <v>0</v>
      </c>
      <c r="F57" s="27">
        <f t="shared" si="20"/>
        <v>0</v>
      </c>
      <c r="G57" s="152"/>
    </row>
    <row r="58" spans="1:30" ht="31.5" x14ac:dyDescent="0.25">
      <c r="A58" s="273" t="s">
        <v>60</v>
      </c>
      <c r="B58" s="156" t="s">
        <v>553</v>
      </c>
      <c r="C58" s="444">
        <v>600</v>
      </c>
      <c r="D58" s="27">
        <f t="shared" si="20"/>
        <v>535</v>
      </c>
      <c r="E58" s="27">
        <f t="shared" si="20"/>
        <v>0</v>
      </c>
      <c r="F58" s="27">
        <f t="shared" si="20"/>
        <v>0</v>
      </c>
      <c r="G58" s="152"/>
    </row>
    <row r="59" spans="1:30" x14ac:dyDescent="0.25">
      <c r="A59" s="273" t="s">
        <v>61</v>
      </c>
      <c r="B59" s="156" t="s">
        <v>553</v>
      </c>
      <c r="C59" s="444">
        <v>610</v>
      </c>
      <c r="D59" s="27">
        <f>'Функц. 2025-2027'!F867</f>
        <v>535</v>
      </c>
      <c r="E59" s="27">
        <f>'Функц. 2025-2027'!H867</f>
        <v>0</v>
      </c>
      <c r="F59" s="27">
        <f>'Функц. 2025-2027'!J867</f>
        <v>0</v>
      </c>
      <c r="G59" s="152"/>
    </row>
    <row r="60" spans="1:30" ht="31.5" x14ac:dyDescent="0.25">
      <c r="A60" s="256" t="s">
        <v>353</v>
      </c>
      <c r="B60" s="156" t="s">
        <v>493</v>
      </c>
      <c r="C60" s="444"/>
      <c r="D60" s="27">
        <f>D61+D64</f>
        <v>93545.3</v>
      </c>
      <c r="E60" s="27">
        <f>E61+E64</f>
        <v>79609.5</v>
      </c>
      <c r="F60" s="27">
        <f>F61+F64</f>
        <v>64032.5</v>
      </c>
      <c r="G60" s="152"/>
    </row>
    <row r="61" spans="1:30" s="177" customFormat="1" ht="47.25" x14ac:dyDescent="0.25">
      <c r="A61" s="523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56" t="s">
        <v>494</v>
      </c>
      <c r="C61" s="444"/>
      <c r="D61" s="27">
        <f t="shared" ref="D61:F62" si="21">D62</f>
        <v>41851.599999999999</v>
      </c>
      <c r="E61" s="27">
        <f t="shared" si="21"/>
        <v>37761.300000000003</v>
      </c>
      <c r="F61" s="27">
        <f t="shared" si="21"/>
        <v>21859.200000000001</v>
      </c>
      <c r="G61" s="152"/>
    </row>
    <row r="62" spans="1:30" s="177" customFormat="1" ht="31.5" x14ac:dyDescent="0.25">
      <c r="A62" s="523" t="str">
        <f>'Функц. 2025-2027'!A870</f>
        <v>Предоставление субсидий бюджетным, автономным учреждениям и иным некоммерческим организациям</v>
      </c>
      <c r="B62" s="156" t="s">
        <v>494</v>
      </c>
      <c r="C62" s="444">
        <v>600</v>
      </c>
      <c r="D62" s="27">
        <f t="shared" si="21"/>
        <v>41851.599999999999</v>
      </c>
      <c r="E62" s="27">
        <f t="shared" si="21"/>
        <v>37761.300000000003</v>
      </c>
      <c r="F62" s="27">
        <f t="shared" si="21"/>
        <v>21859.200000000001</v>
      </c>
      <c r="G62" s="152"/>
    </row>
    <row r="63" spans="1:30" s="177" customFormat="1" x14ac:dyDescent="0.25">
      <c r="A63" s="523" t="str">
        <f>'Функц. 2025-2027'!A871</f>
        <v>Субсидии бюджетным учреждениям</v>
      </c>
      <c r="B63" s="156" t="s">
        <v>494</v>
      </c>
      <c r="C63" s="444">
        <v>610</v>
      </c>
      <c r="D63" s="27">
        <f>'ведом. 2025-2027'!AD458</f>
        <v>41851.599999999999</v>
      </c>
      <c r="E63" s="27">
        <f>'ведом. 2025-2027'!AE458</f>
        <v>37761.300000000003</v>
      </c>
      <c r="F63" s="27">
        <f>'ведом. 2025-2027'!AF458</f>
        <v>21859.200000000001</v>
      </c>
      <c r="G63" s="152"/>
    </row>
    <row r="64" spans="1:30" s="177" customFormat="1" ht="47.25" x14ac:dyDescent="0.25">
      <c r="A64" s="523" t="str">
        <f>'Функц. 2025-2027'!A872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56" t="s">
        <v>495</v>
      </c>
      <c r="C64" s="444"/>
      <c r="D64" s="27">
        <f t="shared" ref="D64:F65" si="22">D65</f>
        <v>51693.700000000004</v>
      </c>
      <c r="E64" s="27">
        <f t="shared" si="22"/>
        <v>41848.199999999997</v>
      </c>
      <c r="F64" s="27">
        <f t="shared" si="22"/>
        <v>42173.3</v>
      </c>
      <c r="G64" s="152"/>
    </row>
    <row r="65" spans="1:30" s="177" customFormat="1" ht="31.5" x14ac:dyDescent="0.25">
      <c r="A65" s="523" t="str">
        <f>'Функц. 2025-2027'!A873</f>
        <v>Предоставление субсидий бюджетным, автономным учреждениям и иным некоммерческим организациям</v>
      </c>
      <c r="B65" s="156" t="s">
        <v>495</v>
      </c>
      <c r="C65" s="444">
        <v>600</v>
      </c>
      <c r="D65" s="27">
        <f t="shared" si="22"/>
        <v>51693.700000000004</v>
      </c>
      <c r="E65" s="27">
        <f t="shared" si="22"/>
        <v>41848.199999999997</v>
      </c>
      <c r="F65" s="27">
        <f t="shared" si="22"/>
        <v>42173.3</v>
      </c>
      <c r="G65" s="152"/>
    </row>
    <row r="66" spans="1:30" s="177" customFormat="1" x14ac:dyDescent="0.25">
      <c r="A66" s="523" t="str">
        <f>'Функц. 2025-2027'!A874</f>
        <v>Субсидии бюджетным учреждениям</v>
      </c>
      <c r="B66" s="156" t="s">
        <v>495</v>
      </c>
      <c r="C66" s="444">
        <v>610</v>
      </c>
      <c r="D66" s="27">
        <f>'ведом. 2025-2027'!AD461</f>
        <v>51693.700000000004</v>
      </c>
      <c r="E66" s="27">
        <f>'ведом. 2025-2027'!AE461</f>
        <v>41848.199999999997</v>
      </c>
      <c r="F66" s="27">
        <f>'ведом. 2025-2027'!AF461</f>
        <v>42173.3</v>
      </c>
      <c r="G66" s="152"/>
    </row>
    <row r="67" spans="1:30" s="519" customFormat="1" ht="47.25" x14ac:dyDescent="0.25">
      <c r="A67" s="451" t="s">
        <v>804</v>
      </c>
      <c r="B67" s="542" t="s">
        <v>807</v>
      </c>
      <c r="C67" s="454"/>
      <c r="D67" s="517">
        <f>D68</f>
        <v>6000</v>
      </c>
      <c r="E67" s="517">
        <f>E68</f>
        <v>0</v>
      </c>
      <c r="F67" s="517">
        <f>F68</f>
        <v>0</v>
      </c>
      <c r="G67" s="520"/>
    </row>
    <row r="68" spans="1:30" s="519" customFormat="1" x14ac:dyDescent="0.25">
      <c r="A68" s="451" t="s">
        <v>805</v>
      </c>
      <c r="B68" s="542" t="s">
        <v>806</v>
      </c>
      <c r="C68" s="454"/>
      <c r="D68" s="517">
        <f>D69</f>
        <v>6000</v>
      </c>
      <c r="E68" s="517">
        <f t="shared" ref="E68:F69" si="23">E69</f>
        <v>0</v>
      </c>
      <c r="F68" s="517">
        <f t="shared" si="23"/>
        <v>0</v>
      </c>
      <c r="G68" s="520"/>
    </row>
    <row r="69" spans="1:30" s="519" customFormat="1" ht="31.5" x14ac:dyDescent="0.25">
      <c r="A69" s="451" t="s">
        <v>60</v>
      </c>
      <c r="B69" s="542" t="s">
        <v>806</v>
      </c>
      <c r="C69" s="454">
        <v>600</v>
      </c>
      <c r="D69" s="517">
        <f>D70</f>
        <v>6000</v>
      </c>
      <c r="E69" s="517">
        <f t="shared" si="23"/>
        <v>0</v>
      </c>
      <c r="F69" s="517">
        <f t="shared" si="23"/>
        <v>0</v>
      </c>
      <c r="G69" s="520"/>
    </row>
    <row r="70" spans="1:30" s="519" customFormat="1" x14ac:dyDescent="0.25">
      <c r="A70" s="451" t="s">
        <v>61</v>
      </c>
      <c r="B70" s="542" t="s">
        <v>806</v>
      </c>
      <c r="C70" s="454">
        <v>610</v>
      </c>
      <c r="D70" s="517">
        <f>'Функц. 2025-2027'!F877</f>
        <v>6000</v>
      </c>
      <c r="E70" s="517">
        <f>'Функц. 2025-2027'!H877</f>
        <v>0</v>
      </c>
      <c r="F70" s="517">
        <f>'Функц. 2025-2027'!J877</f>
        <v>0</v>
      </c>
      <c r="G70" s="520"/>
    </row>
    <row r="71" spans="1:30" s="177" customFormat="1" ht="31.5" x14ac:dyDescent="0.25">
      <c r="A71" s="523" t="s">
        <v>634</v>
      </c>
      <c r="B71" s="156" t="s">
        <v>635</v>
      </c>
      <c r="C71" s="429"/>
      <c r="D71" s="27">
        <f>D72</f>
        <v>1440.5</v>
      </c>
      <c r="E71" s="27">
        <f t="shared" ref="E71:F73" si="24">E72</f>
        <v>345.5</v>
      </c>
      <c r="F71" s="27">
        <f t="shared" si="24"/>
        <v>0</v>
      </c>
      <c r="G71" s="152"/>
    </row>
    <row r="72" spans="1:30" s="177" customFormat="1" ht="31.5" x14ac:dyDescent="0.25">
      <c r="A72" s="523" t="s">
        <v>636</v>
      </c>
      <c r="B72" s="156" t="s">
        <v>637</v>
      </c>
      <c r="C72" s="429"/>
      <c r="D72" s="27">
        <f>D73</f>
        <v>1440.5</v>
      </c>
      <c r="E72" s="27">
        <f t="shared" si="24"/>
        <v>345.5</v>
      </c>
      <c r="F72" s="27">
        <f t="shared" si="24"/>
        <v>0</v>
      </c>
      <c r="G72" s="152"/>
    </row>
    <row r="73" spans="1:30" s="177" customFormat="1" ht="31.5" x14ac:dyDescent="0.25">
      <c r="A73" s="523" t="s">
        <v>60</v>
      </c>
      <c r="B73" s="156" t="s">
        <v>637</v>
      </c>
      <c r="C73" s="429">
        <v>600</v>
      </c>
      <c r="D73" s="27">
        <f>D74</f>
        <v>1440.5</v>
      </c>
      <c r="E73" s="27">
        <f t="shared" si="24"/>
        <v>345.5</v>
      </c>
      <c r="F73" s="27">
        <f t="shared" si="24"/>
        <v>0</v>
      </c>
      <c r="G73" s="152"/>
    </row>
    <row r="74" spans="1:30" s="177" customFormat="1" x14ac:dyDescent="0.25">
      <c r="A74" s="523" t="s">
        <v>61</v>
      </c>
      <c r="B74" s="156" t="s">
        <v>637</v>
      </c>
      <c r="C74" s="429">
        <v>610</v>
      </c>
      <c r="D74" s="27">
        <f>'Функц. 2025-2027'!F881</f>
        <v>1440.5</v>
      </c>
      <c r="E74" s="27">
        <f>'Функц. 2025-2027'!H881</f>
        <v>345.5</v>
      </c>
      <c r="F74" s="27">
        <f>'Функц. 2025-2027'!J881</f>
        <v>0</v>
      </c>
      <c r="G74" s="152"/>
    </row>
    <row r="75" spans="1:30" s="177" customFormat="1" x14ac:dyDescent="0.25">
      <c r="A75" s="523" t="s">
        <v>496</v>
      </c>
      <c r="B75" s="156" t="s">
        <v>380</v>
      </c>
      <c r="C75" s="444"/>
      <c r="D75" s="27">
        <f>D76+D87+D80</f>
        <v>80893.600000000006</v>
      </c>
      <c r="E75" s="517">
        <f t="shared" ref="E75:F75" si="25">E76+E87+E80</f>
        <v>43856</v>
      </c>
      <c r="F75" s="517">
        <f t="shared" si="25"/>
        <v>43856</v>
      </c>
      <c r="G75" s="152"/>
    </row>
    <row r="76" spans="1:30" s="177" customFormat="1" ht="33.75" customHeight="1" x14ac:dyDescent="0.25">
      <c r="A76" s="523" t="s">
        <v>422</v>
      </c>
      <c r="B76" s="156" t="s">
        <v>381</v>
      </c>
      <c r="C76" s="407"/>
      <c r="D76" s="27">
        <f t="shared" ref="D76:F78" si="26">D77</f>
        <v>72348.100000000006</v>
      </c>
      <c r="E76" s="27">
        <f t="shared" si="26"/>
        <v>43856</v>
      </c>
      <c r="F76" s="27">
        <f t="shared" si="26"/>
        <v>43856</v>
      </c>
      <c r="G76" s="152"/>
    </row>
    <row r="77" spans="1:30" s="177" customFormat="1" ht="31.5" x14ac:dyDescent="0.25">
      <c r="A77" s="375" t="s">
        <v>379</v>
      </c>
      <c r="B77" s="156" t="s">
        <v>382</v>
      </c>
      <c r="C77" s="407"/>
      <c r="D77" s="27">
        <f t="shared" si="26"/>
        <v>72348.100000000006</v>
      </c>
      <c r="E77" s="27">
        <f t="shared" si="26"/>
        <v>43856</v>
      </c>
      <c r="F77" s="27">
        <f t="shared" si="26"/>
        <v>43856</v>
      </c>
      <c r="G77" s="152"/>
    </row>
    <row r="78" spans="1:30" s="177" customFormat="1" ht="31.5" x14ac:dyDescent="0.25">
      <c r="A78" s="523" t="s">
        <v>60</v>
      </c>
      <c r="B78" s="156" t="s">
        <v>382</v>
      </c>
      <c r="C78" s="407">
        <v>600</v>
      </c>
      <c r="D78" s="27">
        <f t="shared" si="26"/>
        <v>72348.100000000006</v>
      </c>
      <c r="E78" s="27">
        <f t="shared" si="26"/>
        <v>43856</v>
      </c>
      <c r="F78" s="27">
        <f t="shared" si="26"/>
        <v>43856</v>
      </c>
      <c r="G78" s="152"/>
    </row>
    <row r="79" spans="1:30" s="177" customFormat="1" x14ac:dyDescent="0.25">
      <c r="A79" s="523" t="s">
        <v>61</v>
      </c>
      <c r="B79" s="156" t="s">
        <v>382</v>
      </c>
      <c r="C79" s="407">
        <v>610</v>
      </c>
      <c r="D79" s="27">
        <f>'Функц. 2025-2027'!F721</f>
        <v>72348.100000000006</v>
      </c>
      <c r="E79" s="27">
        <f>'Функц. 2025-2027'!H721</f>
        <v>43856</v>
      </c>
      <c r="F79" s="27">
        <f>'Функц. 2025-2027'!J721</f>
        <v>43856</v>
      </c>
      <c r="G79" s="152"/>
    </row>
    <row r="80" spans="1:30" s="519" customFormat="1" ht="31.5" x14ac:dyDescent="0.25">
      <c r="A80" s="451" t="s">
        <v>737</v>
      </c>
      <c r="B80" s="612" t="s">
        <v>738</v>
      </c>
      <c r="C80" s="456"/>
      <c r="D80" s="517">
        <f>D84+D81</f>
        <v>2528.4</v>
      </c>
      <c r="E80" s="517">
        <f t="shared" ref="E80:AD80" si="27">E84+E81</f>
        <v>0</v>
      </c>
      <c r="F80" s="517">
        <f t="shared" si="27"/>
        <v>0</v>
      </c>
      <c r="G80" s="517">
        <f t="shared" si="27"/>
        <v>0</v>
      </c>
      <c r="H80" s="517">
        <f t="shared" si="27"/>
        <v>0</v>
      </c>
      <c r="I80" s="517">
        <f t="shared" si="27"/>
        <v>0</v>
      </c>
      <c r="J80" s="517">
        <f t="shared" si="27"/>
        <v>0</v>
      </c>
      <c r="K80" s="517">
        <f t="shared" si="27"/>
        <v>0</v>
      </c>
      <c r="L80" s="517">
        <f t="shared" si="27"/>
        <v>0</v>
      </c>
      <c r="M80" s="517">
        <f t="shared" si="27"/>
        <v>0</v>
      </c>
      <c r="N80" s="517">
        <f t="shared" si="27"/>
        <v>0</v>
      </c>
      <c r="O80" s="517">
        <f t="shared" si="27"/>
        <v>0</v>
      </c>
      <c r="P80" s="517">
        <f t="shared" si="27"/>
        <v>0</v>
      </c>
      <c r="Q80" s="517">
        <f t="shared" si="27"/>
        <v>0</v>
      </c>
      <c r="R80" s="517">
        <f t="shared" si="27"/>
        <v>0</v>
      </c>
      <c r="S80" s="517">
        <f t="shared" si="27"/>
        <v>0</v>
      </c>
      <c r="T80" s="517">
        <f t="shared" si="27"/>
        <v>0</v>
      </c>
      <c r="U80" s="517">
        <f t="shared" si="27"/>
        <v>0</v>
      </c>
      <c r="V80" s="517">
        <f t="shared" si="27"/>
        <v>0</v>
      </c>
      <c r="W80" s="517">
        <f t="shared" si="27"/>
        <v>0</v>
      </c>
      <c r="X80" s="517">
        <f t="shared" si="27"/>
        <v>0</v>
      </c>
      <c r="Y80" s="517">
        <f t="shared" si="27"/>
        <v>0</v>
      </c>
      <c r="Z80" s="517">
        <f t="shared" si="27"/>
        <v>0</v>
      </c>
      <c r="AA80" s="517">
        <f t="shared" si="27"/>
        <v>0</v>
      </c>
      <c r="AB80" s="517">
        <f t="shared" si="27"/>
        <v>0</v>
      </c>
      <c r="AC80" s="517">
        <f t="shared" si="27"/>
        <v>0</v>
      </c>
      <c r="AD80" s="517">
        <f t="shared" si="27"/>
        <v>0</v>
      </c>
    </row>
    <row r="81" spans="1:30" s="519" customFormat="1" ht="63" x14ac:dyDescent="0.25">
      <c r="A81" s="451" t="s">
        <v>859</v>
      </c>
      <c r="B81" s="542" t="s">
        <v>860</v>
      </c>
      <c r="C81" s="482"/>
      <c r="D81" s="517">
        <f>D82</f>
        <v>28.6</v>
      </c>
      <c r="E81" s="517">
        <f t="shared" ref="E81:F81" si="28">E82</f>
        <v>0</v>
      </c>
      <c r="F81" s="517">
        <f t="shared" si="28"/>
        <v>0</v>
      </c>
      <c r="G81" s="520"/>
    </row>
    <row r="82" spans="1:30" s="519" customFormat="1" ht="31.5" x14ac:dyDescent="0.25">
      <c r="A82" s="451" t="s">
        <v>60</v>
      </c>
      <c r="B82" s="542" t="s">
        <v>860</v>
      </c>
      <c r="C82" s="482">
        <v>600</v>
      </c>
      <c r="D82" s="713">
        <f>D83</f>
        <v>28.6</v>
      </c>
      <c r="E82" s="713">
        <f t="shared" ref="E82:F82" si="29">E83</f>
        <v>0</v>
      </c>
      <c r="F82" s="713">
        <f t="shared" si="29"/>
        <v>0</v>
      </c>
      <c r="G82" s="520"/>
    </row>
    <row r="83" spans="1:30" s="519" customFormat="1" x14ac:dyDescent="0.25">
      <c r="A83" s="451" t="s">
        <v>61</v>
      </c>
      <c r="B83" s="542" t="s">
        <v>860</v>
      </c>
      <c r="C83" s="482">
        <v>610</v>
      </c>
      <c r="D83" s="517">
        <f>'Функц. 2025-2027'!F725</f>
        <v>28.6</v>
      </c>
      <c r="E83" s="517">
        <f>'Функц. 2025-2027'!H725</f>
        <v>0</v>
      </c>
      <c r="F83" s="517">
        <f>'Функц. 2025-2027'!J725</f>
        <v>0</v>
      </c>
      <c r="G83" s="520"/>
    </row>
    <row r="84" spans="1:30" s="519" customFormat="1" ht="31.5" x14ac:dyDescent="0.25">
      <c r="A84" s="479" t="s">
        <v>769</v>
      </c>
      <c r="B84" s="612" t="s">
        <v>739</v>
      </c>
      <c r="C84" s="456"/>
      <c r="D84" s="517">
        <f>D85</f>
        <v>2499.8000000000002</v>
      </c>
      <c r="E84" s="517">
        <f t="shared" ref="E84:F85" si="30">E85</f>
        <v>0</v>
      </c>
      <c r="F84" s="517">
        <f t="shared" si="30"/>
        <v>0</v>
      </c>
      <c r="G84" s="520"/>
    </row>
    <row r="85" spans="1:30" s="519" customFormat="1" ht="31.5" x14ac:dyDescent="0.25">
      <c r="A85" s="451" t="s">
        <v>60</v>
      </c>
      <c r="B85" s="612" t="s">
        <v>739</v>
      </c>
      <c r="C85" s="456">
        <v>600</v>
      </c>
      <c r="D85" s="517">
        <f>D86</f>
        <v>2499.8000000000002</v>
      </c>
      <c r="E85" s="517">
        <f t="shared" si="30"/>
        <v>0</v>
      </c>
      <c r="F85" s="517">
        <f t="shared" si="30"/>
        <v>0</v>
      </c>
      <c r="G85" s="520"/>
    </row>
    <row r="86" spans="1:30" s="519" customFormat="1" x14ac:dyDescent="0.25">
      <c r="A86" s="451" t="s">
        <v>61</v>
      </c>
      <c r="B86" s="612" t="s">
        <v>739</v>
      </c>
      <c r="C86" s="456">
        <v>610</v>
      </c>
      <c r="D86" s="517">
        <f>'Функц. 2025-2027'!F728</f>
        <v>2499.8000000000002</v>
      </c>
      <c r="E86" s="517">
        <f>'Функц. 2025-2027'!H728</f>
        <v>0</v>
      </c>
      <c r="F86" s="517">
        <f>'Функц. 2025-2027'!J728</f>
        <v>0</v>
      </c>
      <c r="G86" s="520"/>
    </row>
    <row r="87" spans="1:30" s="519" customFormat="1" x14ac:dyDescent="0.25">
      <c r="A87" s="451" t="s">
        <v>733</v>
      </c>
      <c r="B87" s="612" t="s">
        <v>736</v>
      </c>
      <c r="C87" s="456"/>
      <c r="D87" s="517">
        <f>D88</f>
        <v>6017.1</v>
      </c>
      <c r="E87" s="517">
        <f t="shared" ref="E87:F89" si="31">E88</f>
        <v>0</v>
      </c>
      <c r="F87" s="517">
        <f t="shared" si="31"/>
        <v>0</v>
      </c>
      <c r="G87" s="520"/>
    </row>
    <row r="88" spans="1:30" s="519" customFormat="1" ht="47.25" x14ac:dyDescent="0.25">
      <c r="A88" s="451" t="s">
        <v>734</v>
      </c>
      <c r="B88" s="612" t="s">
        <v>735</v>
      </c>
      <c r="C88" s="456"/>
      <c r="D88" s="517">
        <f>D89</f>
        <v>6017.1</v>
      </c>
      <c r="E88" s="517">
        <f t="shared" si="31"/>
        <v>0</v>
      </c>
      <c r="F88" s="517">
        <f t="shared" si="31"/>
        <v>0</v>
      </c>
      <c r="G88" s="520"/>
    </row>
    <row r="89" spans="1:30" s="519" customFormat="1" ht="31.5" x14ac:dyDescent="0.25">
      <c r="A89" s="451" t="s">
        <v>60</v>
      </c>
      <c r="B89" s="612" t="s">
        <v>735</v>
      </c>
      <c r="C89" s="456">
        <v>600</v>
      </c>
      <c r="D89" s="517">
        <f>D90</f>
        <v>6017.1</v>
      </c>
      <c r="E89" s="517">
        <f t="shared" si="31"/>
        <v>0</v>
      </c>
      <c r="F89" s="517">
        <f t="shared" si="31"/>
        <v>0</v>
      </c>
      <c r="G89" s="520"/>
    </row>
    <row r="90" spans="1:30" s="519" customFormat="1" x14ac:dyDescent="0.25">
      <c r="A90" s="451" t="s">
        <v>61</v>
      </c>
      <c r="B90" s="612" t="s">
        <v>735</v>
      </c>
      <c r="C90" s="456">
        <v>610</v>
      </c>
      <c r="D90" s="517">
        <f>'Функц. 2025-2027'!F732</f>
        <v>6017.1</v>
      </c>
      <c r="E90" s="517">
        <f>'Функц. 2025-2027'!H732</f>
        <v>0</v>
      </c>
      <c r="F90" s="517">
        <f>'Функц. 2025-2027'!J732</f>
        <v>0</v>
      </c>
      <c r="G90" s="520"/>
    </row>
    <row r="91" spans="1:30" s="134" customFormat="1" x14ac:dyDescent="0.25">
      <c r="A91" s="392" t="s">
        <v>262</v>
      </c>
      <c r="B91" s="614" t="s">
        <v>100</v>
      </c>
      <c r="C91" s="593"/>
      <c r="D91" s="30">
        <f>D92+D172+D187</f>
        <v>1484214.2</v>
      </c>
      <c r="E91" s="518">
        <f>E92+E172+E187</f>
        <v>1306315.0999999999</v>
      </c>
      <c r="F91" s="518">
        <f>F92+F172+F187</f>
        <v>1302968.4000000001</v>
      </c>
      <c r="G91" s="152"/>
    </row>
    <row r="92" spans="1:30" x14ac:dyDescent="0.25">
      <c r="A92" s="271" t="s">
        <v>445</v>
      </c>
      <c r="B92" s="156" t="s">
        <v>117</v>
      </c>
      <c r="C92" s="444"/>
      <c r="D92" s="27">
        <f>D93+D134+D151+D162+D158+D147</f>
        <v>1384781.7</v>
      </c>
      <c r="E92" s="517">
        <f t="shared" ref="E92:AD92" si="32">E93+E134+E151+E162+E158+E147</f>
        <v>1209503.7999999998</v>
      </c>
      <c r="F92" s="517">
        <f t="shared" si="32"/>
        <v>1203771</v>
      </c>
      <c r="G92" s="517" t="e">
        <f t="shared" si="32"/>
        <v>#REF!</v>
      </c>
      <c r="H92" s="517" t="e">
        <f t="shared" si="32"/>
        <v>#REF!</v>
      </c>
      <c r="I92" s="517" t="e">
        <f t="shared" si="32"/>
        <v>#REF!</v>
      </c>
      <c r="J92" s="517" t="e">
        <f t="shared" si="32"/>
        <v>#REF!</v>
      </c>
      <c r="K92" s="517" t="e">
        <f t="shared" si="32"/>
        <v>#REF!</v>
      </c>
      <c r="L92" s="517" t="e">
        <f t="shared" si="32"/>
        <v>#REF!</v>
      </c>
      <c r="M92" s="517" t="e">
        <f t="shared" si="32"/>
        <v>#REF!</v>
      </c>
      <c r="N92" s="517" t="e">
        <f t="shared" si="32"/>
        <v>#REF!</v>
      </c>
      <c r="O92" s="517" t="e">
        <f t="shared" si="32"/>
        <v>#REF!</v>
      </c>
      <c r="P92" s="517" t="e">
        <f t="shared" si="32"/>
        <v>#REF!</v>
      </c>
      <c r="Q92" s="517" t="e">
        <f t="shared" si="32"/>
        <v>#REF!</v>
      </c>
      <c r="R92" s="517" t="e">
        <f t="shared" si="32"/>
        <v>#REF!</v>
      </c>
      <c r="S92" s="517" t="e">
        <f t="shared" si="32"/>
        <v>#REF!</v>
      </c>
      <c r="T92" s="517" t="e">
        <f t="shared" si="32"/>
        <v>#REF!</v>
      </c>
      <c r="U92" s="517" t="e">
        <f t="shared" si="32"/>
        <v>#REF!</v>
      </c>
      <c r="V92" s="517" t="e">
        <f t="shared" si="32"/>
        <v>#REF!</v>
      </c>
      <c r="W92" s="517" t="e">
        <f t="shared" si="32"/>
        <v>#REF!</v>
      </c>
      <c r="X92" s="517" t="e">
        <f t="shared" si="32"/>
        <v>#REF!</v>
      </c>
      <c r="Y92" s="517" t="e">
        <f t="shared" si="32"/>
        <v>#REF!</v>
      </c>
      <c r="Z92" s="517" t="e">
        <f t="shared" si="32"/>
        <v>#REF!</v>
      </c>
      <c r="AA92" s="517" t="e">
        <f t="shared" si="32"/>
        <v>#REF!</v>
      </c>
      <c r="AB92" s="517" t="e">
        <f t="shared" si="32"/>
        <v>#REF!</v>
      </c>
      <c r="AC92" s="517" t="e">
        <f t="shared" si="32"/>
        <v>#REF!</v>
      </c>
      <c r="AD92" s="517" t="e">
        <f t="shared" si="32"/>
        <v>#REF!</v>
      </c>
    </row>
    <row r="93" spans="1:30" ht="31.5" x14ac:dyDescent="0.25">
      <c r="A93" s="255" t="s">
        <v>447</v>
      </c>
      <c r="B93" s="156" t="s">
        <v>446</v>
      </c>
      <c r="C93" s="407"/>
      <c r="D93" s="27">
        <f>D97+D116+D104+D113+D125+D94+D128+D131</f>
        <v>1279214</v>
      </c>
      <c r="E93" s="517">
        <f>E97+E116+E104+E113+E125+E94+E128+E131</f>
        <v>1112655.3999999999</v>
      </c>
      <c r="F93" s="517">
        <f>F97+F116+F104+F113+F125+F94+F128+F131</f>
        <v>1119656</v>
      </c>
      <c r="G93" s="152"/>
    </row>
    <row r="94" spans="1:30" s="177" customFormat="1" ht="31.5" x14ac:dyDescent="0.25">
      <c r="A94" s="255" t="s">
        <v>684</v>
      </c>
      <c r="B94" s="612" t="s">
        <v>683</v>
      </c>
      <c r="C94" s="431"/>
      <c r="D94" s="27">
        <f t="shared" ref="D94:F95" si="33">D95</f>
        <v>30653.9</v>
      </c>
      <c r="E94" s="27">
        <f t="shared" si="33"/>
        <v>21201.200000000001</v>
      </c>
      <c r="F94" s="27">
        <f t="shared" si="33"/>
        <v>19198.599999999999</v>
      </c>
      <c r="G94" s="152"/>
    </row>
    <row r="95" spans="1:30" s="177" customFormat="1" x14ac:dyDescent="0.25">
      <c r="A95" s="394" t="s">
        <v>120</v>
      </c>
      <c r="B95" s="612" t="s">
        <v>683</v>
      </c>
      <c r="C95" s="429">
        <v>200</v>
      </c>
      <c r="D95" s="27">
        <f t="shared" si="33"/>
        <v>30653.9</v>
      </c>
      <c r="E95" s="27">
        <f t="shared" si="33"/>
        <v>21201.200000000001</v>
      </c>
      <c r="F95" s="27">
        <f t="shared" si="33"/>
        <v>19198.599999999999</v>
      </c>
      <c r="G95" s="152"/>
    </row>
    <row r="96" spans="1:30" s="177" customFormat="1" x14ac:dyDescent="0.25">
      <c r="A96" s="523" t="s">
        <v>52</v>
      </c>
      <c r="B96" s="612" t="s">
        <v>683</v>
      </c>
      <c r="C96" s="429">
        <v>240</v>
      </c>
      <c r="D96" s="27">
        <f>'Функц. 2025-2027'!F651</f>
        <v>30653.9</v>
      </c>
      <c r="E96" s="27">
        <f>'Функц. 2025-2027'!H651</f>
        <v>21201.200000000001</v>
      </c>
      <c r="F96" s="27">
        <f>'Функц. 2025-2027'!J651</f>
        <v>19198.599999999999</v>
      </c>
      <c r="G96" s="152"/>
    </row>
    <row r="97" spans="1:7" ht="31.5" x14ac:dyDescent="0.25">
      <c r="A97" s="393" t="s">
        <v>264</v>
      </c>
      <c r="B97" s="156" t="s">
        <v>449</v>
      </c>
      <c r="C97" s="594"/>
      <c r="D97" s="27">
        <f>D98+D101</f>
        <v>201452.79999999999</v>
      </c>
      <c r="E97" s="27">
        <f>E98</f>
        <v>188071.3</v>
      </c>
      <c r="F97" s="27">
        <f>F98</f>
        <v>193971.5</v>
      </c>
      <c r="G97" s="152"/>
    </row>
    <row r="98" spans="1:7" ht="31.5" x14ac:dyDescent="0.25">
      <c r="A98" s="393" t="s">
        <v>333</v>
      </c>
      <c r="B98" s="156" t="s">
        <v>450</v>
      </c>
      <c r="C98" s="444"/>
      <c r="D98" s="27">
        <f t="shared" ref="D98:F99" si="34">D99</f>
        <v>184081.8</v>
      </c>
      <c r="E98" s="27">
        <f t="shared" si="34"/>
        <v>188071.3</v>
      </c>
      <c r="F98" s="27">
        <f t="shared" si="34"/>
        <v>193971.5</v>
      </c>
      <c r="G98" s="152"/>
    </row>
    <row r="99" spans="1:7" ht="31.5" x14ac:dyDescent="0.25">
      <c r="A99" s="273" t="s">
        <v>60</v>
      </c>
      <c r="B99" s="156" t="s">
        <v>450</v>
      </c>
      <c r="C99" s="444">
        <v>600</v>
      </c>
      <c r="D99" s="27">
        <f t="shared" si="34"/>
        <v>184081.8</v>
      </c>
      <c r="E99" s="27">
        <f t="shared" si="34"/>
        <v>188071.3</v>
      </c>
      <c r="F99" s="27">
        <f t="shared" si="34"/>
        <v>193971.5</v>
      </c>
      <c r="G99" s="152"/>
    </row>
    <row r="100" spans="1:7" x14ac:dyDescent="0.25">
      <c r="A100" s="273" t="s">
        <v>61</v>
      </c>
      <c r="B100" s="156" t="s">
        <v>450</v>
      </c>
      <c r="C100" s="444">
        <v>610</v>
      </c>
      <c r="D100" s="27">
        <f>'Функц. 2025-2027'!F628</f>
        <v>184081.8</v>
      </c>
      <c r="E100" s="27">
        <f>'Функц. 2025-2027'!H628</f>
        <v>188071.3</v>
      </c>
      <c r="F100" s="27">
        <f>'Функц. 2025-2027'!J628</f>
        <v>193971.5</v>
      </c>
      <c r="G100" s="152"/>
    </row>
    <row r="101" spans="1:7" s="519" customFormat="1" ht="47.25" x14ac:dyDescent="0.25">
      <c r="A101" s="451" t="s">
        <v>725</v>
      </c>
      <c r="B101" s="542" t="s">
        <v>820</v>
      </c>
      <c r="C101" s="454"/>
      <c r="D101" s="517">
        <f>D102</f>
        <v>17371</v>
      </c>
      <c r="E101" s="517">
        <f t="shared" ref="E101:F102" si="35">E102</f>
        <v>0</v>
      </c>
      <c r="F101" s="517">
        <f t="shared" si="35"/>
        <v>0</v>
      </c>
      <c r="G101" s="520"/>
    </row>
    <row r="102" spans="1:7" s="519" customFormat="1" ht="31.5" x14ac:dyDescent="0.25">
      <c r="A102" s="451" t="s">
        <v>60</v>
      </c>
      <c r="B102" s="542" t="s">
        <v>820</v>
      </c>
      <c r="C102" s="454">
        <v>600</v>
      </c>
      <c r="D102" s="517">
        <f>D103</f>
        <v>17371</v>
      </c>
      <c r="E102" s="517">
        <f t="shared" si="35"/>
        <v>0</v>
      </c>
      <c r="F102" s="517">
        <f t="shared" si="35"/>
        <v>0</v>
      </c>
      <c r="G102" s="520"/>
    </row>
    <row r="103" spans="1:7" s="519" customFormat="1" x14ac:dyDescent="0.25">
      <c r="A103" s="451" t="s">
        <v>61</v>
      </c>
      <c r="B103" s="542" t="s">
        <v>820</v>
      </c>
      <c r="C103" s="454">
        <v>610</v>
      </c>
      <c r="D103" s="517">
        <f>'Функц. 2025-2027'!F631</f>
        <v>17371</v>
      </c>
      <c r="E103" s="517">
        <f>'Функц. 2025-2027'!H631</f>
        <v>0</v>
      </c>
      <c r="F103" s="517">
        <f>'Функц. 2025-2027'!J631</f>
        <v>0</v>
      </c>
      <c r="G103" s="520"/>
    </row>
    <row r="104" spans="1:7" ht="47.25" x14ac:dyDescent="0.25">
      <c r="A104" s="271" t="s">
        <v>431</v>
      </c>
      <c r="B104" s="156" t="s">
        <v>467</v>
      </c>
      <c r="C104" s="444"/>
      <c r="D104" s="27">
        <f>D105+D108</f>
        <v>232210.3</v>
      </c>
      <c r="E104" s="27">
        <f>E105+E108</f>
        <v>101185.9</v>
      </c>
      <c r="F104" s="27">
        <f>F105+F108</f>
        <v>104288.90000000001</v>
      </c>
      <c r="G104" s="152"/>
    </row>
    <row r="105" spans="1:7" ht="47.25" x14ac:dyDescent="0.25">
      <c r="A105" s="271" t="s">
        <v>725</v>
      </c>
      <c r="B105" s="156" t="s">
        <v>468</v>
      </c>
      <c r="C105" s="594"/>
      <c r="D105" s="27">
        <f t="shared" ref="D105:F106" si="36">D106</f>
        <v>121953.70000000001</v>
      </c>
      <c r="E105" s="27">
        <f t="shared" si="36"/>
        <v>101185.9</v>
      </c>
      <c r="F105" s="27">
        <f t="shared" si="36"/>
        <v>104288.90000000001</v>
      </c>
      <c r="G105" s="152"/>
    </row>
    <row r="106" spans="1:7" ht="31.5" x14ac:dyDescent="0.25">
      <c r="A106" s="273" t="s">
        <v>60</v>
      </c>
      <c r="B106" s="156" t="s">
        <v>468</v>
      </c>
      <c r="C106" s="444">
        <v>600</v>
      </c>
      <c r="D106" s="27">
        <f t="shared" si="36"/>
        <v>121953.70000000001</v>
      </c>
      <c r="E106" s="27">
        <f t="shared" si="36"/>
        <v>101185.9</v>
      </c>
      <c r="F106" s="27">
        <f t="shared" si="36"/>
        <v>104288.90000000001</v>
      </c>
      <c r="G106" s="152"/>
    </row>
    <row r="107" spans="1:7" x14ac:dyDescent="0.25">
      <c r="A107" s="273" t="s">
        <v>61</v>
      </c>
      <c r="B107" s="156" t="s">
        <v>468</v>
      </c>
      <c r="C107" s="444">
        <v>610</v>
      </c>
      <c r="D107" s="27">
        <f>'Функц. 2025-2027'!F655</f>
        <v>121953.70000000001</v>
      </c>
      <c r="E107" s="27">
        <f>'Функц. 2025-2027'!H655</f>
        <v>101185.9</v>
      </c>
      <c r="F107" s="27">
        <f>'Функц. 2025-2027'!J655</f>
        <v>104288.90000000001</v>
      </c>
      <c r="G107" s="152"/>
    </row>
    <row r="108" spans="1:7" ht="47.25" x14ac:dyDescent="0.25">
      <c r="A108" s="273" t="s">
        <v>508</v>
      </c>
      <c r="B108" s="156" t="s">
        <v>469</v>
      </c>
      <c r="C108" s="444"/>
      <c r="D108" s="27">
        <f>D111+D109</f>
        <v>110256.59999999999</v>
      </c>
      <c r="E108" s="517">
        <f t="shared" ref="E108:F108" si="37">E111+E109</f>
        <v>0</v>
      </c>
      <c r="F108" s="517">
        <f t="shared" si="37"/>
        <v>0</v>
      </c>
      <c r="G108" s="152"/>
    </row>
    <row r="109" spans="1:7" s="519" customFormat="1" x14ac:dyDescent="0.25">
      <c r="A109" s="394" t="s">
        <v>120</v>
      </c>
      <c r="B109" s="156" t="s">
        <v>469</v>
      </c>
      <c r="C109" s="444">
        <v>200</v>
      </c>
      <c r="D109" s="517">
        <f>D110</f>
        <v>92805.9</v>
      </c>
      <c r="E109" s="517">
        <f t="shared" ref="E109:F109" si="38">E110</f>
        <v>0</v>
      </c>
      <c r="F109" s="517">
        <f t="shared" si="38"/>
        <v>0</v>
      </c>
      <c r="G109" s="520"/>
    </row>
    <row r="110" spans="1:7" s="519" customFormat="1" x14ac:dyDescent="0.25">
      <c r="A110" s="523" t="s">
        <v>52</v>
      </c>
      <c r="B110" s="156" t="s">
        <v>469</v>
      </c>
      <c r="C110" s="444">
        <v>240</v>
      </c>
      <c r="D110" s="517">
        <f>'Функц. 2025-2027'!F658</f>
        <v>92805.9</v>
      </c>
      <c r="E110" s="517">
        <f>'Функц. 2025-2027'!H658</f>
        <v>0</v>
      </c>
      <c r="F110" s="517">
        <f>'Функц. 2025-2027'!J658</f>
        <v>0</v>
      </c>
      <c r="G110" s="520"/>
    </row>
    <row r="111" spans="1:7" ht="31.5" x14ac:dyDescent="0.25">
      <c r="A111" s="273" t="s">
        <v>60</v>
      </c>
      <c r="B111" s="156" t="s">
        <v>469</v>
      </c>
      <c r="C111" s="444">
        <v>600</v>
      </c>
      <c r="D111" s="27">
        <f t="shared" ref="D111:F111" si="39">D112</f>
        <v>17450.7</v>
      </c>
      <c r="E111" s="27">
        <f t="shared" si="39"/>
        <v>0</v>
      </c>
      <c r="F111" s="27">
        <f t="shared" si="39"/>
        <v>0</v>
      </c>
      <c r="G111" s="152"/>
    </row>
    <row r="112" spans="1:7" x14ac:dyDescent="0.25">
      <c r="A112" s="273" t="s">
        <v>61</v>
      </c>
      <c r="B112" s="156" t="s">
        <v>469</v>
      </c>
      <c r="C112" s="444">
        <v>610</v>
      </c>
      <c r="D112" s="27">
        <f>'Функц. 2025-2027'!F660</f>
        <v>17450.7</v>
      </c>
      <c r="E112" s="27">
        <f>'Функц. 2025-2027'!H660</f>
        <v>0</v>
      </c>
      <c r="F112" s="27">
        <f>'Функц. 2025-2027'!J660</f>
        <v>0</v>
      </c>
      <c r="G112" s="152"/>
    </row>
    <row r="113" spans="1:7" ht="126" x14ac:dyDescent="0.25">
      <c r="A113" s="274" t="s">
        <v>510</v>
      </c>
      <c r="B113" s="26" t="s">
        <v>470</v>
      </c>
      <c r="C113" s="407"/>
      <c r="D113" s="27">
        <f t="shared" ref="D113:F114" si="40">D114</f>
        <v>763363</v>
      </c>
      <c r="E113" s="27">
        <f t="shared" si="40"/>
        <v>734136</v>
      </c>
      <c r="F113" s="27">
        <f t="shared" si="40"/>
        <v>734136</v>
      </c>
      <c r="G113" s="152"/>
    </row>
    <row r="114" spans="1:7" ht="31.5" x14ac:dyDescent="0.25">
      <c r="A114" s="273" t="s">
        <v>60</v>
      </c>
      <c r="B114" s="26" t="s">
        <v>470</v>
      </c>
      <c r="C114" s="444">
        <v>600</v>
      </c>
      <c r="D114" s="27">
        <f t="shared" si="40"/>
        <v>763363</v>
      </c>
      <c r="E114" s="27">
        <f t="shared" si="40"/>
        <v>734136</v>
      </c>
      <c r="F114" s="27">
        <f t="shared" si="40"/>
        <v>734136</v>
      </c>
      <c r="G114" s="152"/>
    </row>
    <row r="115" spans="1:7" x14ac:dyDescent="0.25">
      <c r="A115" s="273" t="s">
        <v>61</v>
      </c>
      <c r="B115" s="26" t="s">
        <v>470</v>
      </c>
      <c r="C115" s="444">
        <v>610</v>
      </c>
      <c r="D115" s="27">
        <f>'Функц. 2025-2027'!F663+'Функц. 2025-2027'!F738+'Функц. 2025-2027'!F634</f>
        <v>763363</v>
      </c>
      <c r="E115" s="27">
        <f>'Функц. 2025-2027'!H634+'Функц. 2025-2027'!H663+'Функц. 2025-2027'!H738</f>
        <v>734136</v>
      </c>
      <c r="F115" s="27">
        <f>'Функц. 2025-2027'!J738+'Функц. 2025-2027'!J634+'Функц. 2025-2027'!J663</f>
        <v>734136</v>
      </c>
      <c r="G115" s="152"/>
    </row>
    <row r="116" spans="1:7" s="177" customFormat="1" ht="47.25" x14ac:dyDescent="0.25">
      <c r="A116" s="273" t="s">
        <v>122</v>
      </c>
      <c r="B116" s="156" t="s">
        <v>466</v>
      </c>
      <c r="C116" s="444"/>
      <c r="D116" s="27">
        <f>D121+D119+D123+D117</f>
        <v>14906</v>
      </c>
      <c r="E116" s="517">
        <f t="shared" ref="E116:F116" si="41">E121+E119+E123+E117</f>
        <v>14906</v>
      </c>
      <c r="F116" s="517">
        <f t="shared" si="41"/>
        <v>14906</v>
      </c>
      <c r="G116" s="152"/>
    </row>
    <row r="117" spans="1:7" s="519" customFormat="1" ht="47.25" x14ac:dyDescent="0.25">
      <c r="A117" s="451" t="s">
        <v>41</v>
      </c>
      <c r="B117" s="156" t="s">
        <v>466</v>
      </c>
      <c r="C117" s="444">
        <v>100</v>
      </c>
      <c r="D117" s="517">
        <f>D118</f>
        <v>536.1</v>
      </c>
      <c r="E117" s="517">
        <f t="shared" ref="E117:F117" si="42">E118</f>
        <v>826</v>
      </c>
      <c r="F117" s="517">
        <f t="shared" si="42"/>
        <v>826</v>
      </c>
      <c r="G117" s="520"/>
    </row>
    <row r="118" spans="1:7" s="519" customFormat="1" x14ac:dyDescent="0.25">
      <c r="A118" s="451" t="s">
        <v>68</v>
      </c>
      <c r="B118" s="156" t="s">
        <v>466</v>
      </c>
      <c r="C118" s="444">
        <v>110</v>
      </c>
      <c r="D118" s="517">
        <f>'Функц. 2025-2027'!F922</f>
        <v>536.1</v>
      </c>
      <c r="E118" s="517">
        <f>'Функц. 2025-2027'!H922</f>
        <v>826</v>
      </c>
      <c r="F118" s="517">
        <f>'Функц. 2025-2027'!J922</f>
        <v>826</v>
      </c>
      <c r="G118" s="520"/>
    </row>
    <row r="119" spans="1:7" s="177" customFormat="1" x14ac:dyDescent="0.25">
      <c r="A119" s="394" t="s">
        <v>120</v>
      </c>
      <c r="B119" s="156" t="s">
        <v>466</v>
      </c>
      <c r="C119" s="444">
        <v>200</v>
      </c>
      <c r="D119" s="27">
        <f>D120</f>
        <v>139</v>
      </c>
      <c r="E119" s="27">
        <f>E120</f>
        <v>139</v>
      </c>
      <c r="F119" s="27">
        <f>F120</f>
        <v>139</v>
      </c>
      <c r="G119" s="152"/>
    </row>
    <row r="120" spans="1:7" s="177" customFormat="1" x14ac:dyDescent="0.25">
      <c r="A120" s="523" t="s">
        <v>52</v>
      </c>
      <c r="B120" s="156" t="s">
        <v>466</v>
      </c>
      <c r="C120" s="444">
        <v>240</v>
      </c>
      <c r="D120" s="27">
        <f>'Функц. 2025-2027'!F924</f>
        <v>139</v>
      </c>
      <c r="E120" s="27">
        <f>'Функц. 2025-2027'!H924</f>
        <v>139</v>
      </c>
      <c r="F120" s="27">
        <f>'Функц. 2025-2027'!J924</f>
        <v>139</v>
      </c>
      <c r="G120" s="152"/>
    </row>
    <row r="121" spans="1:7" s="177" customFormat="1" x14ac:dyDescent="0.25">
      <c r="A121" s="273" t="s">
        <v>97</v>
      </c>
      <c r="B121" s="156" t="s">
        <v>466</v>
      </c>
      <c r="C121" s="444">
        <v>300</v>
      </c>
      <c r="D121" s="27">
        <f>D122</f>
        <v>13941</v>
      </c>
      <c r="E121" s="27">
        <f>E122</f>
        <v>13941</v>
      </c>
      <c r="F121" s="27">
        <f>F122</f>
        <v>13941</v>
      </c>
      <c r="G121" s="152"/>
    </row>
    <row r="122" spans="1:7" s="177" customFormat="1" x14ac:dyDescent="0.25">
      <c r="A122" s="273" t="s">
        <v>131</v>
      </c>
      <c r="B122" s="156" t="s">
        <v>466</v>
      </c>
      <c r="C122" s="444">
        <v>310</v>
      </c>
      <c r="D122" s="27">
        <f>'Функц. 2025-2027'!F926</f>
        <v>13941</v>
      </c>
      <c r="E122" s="27">
        <f>'Функц. 2025-2027'!H926</f>
        <v>13941</v>
      </c>
      <c r="F122" s="27">
        <f>'Функц. 2025-2027'!J926</f>
        <v>13941</v>
      </c>
      <c r="G122" s="152"/>
    </row>
    <row r="123" spans="1:7" s="177" customFormat="1" ht="31.5" x14ac:dyDescent="0.25">
      <c r="A123" s="273" t="s">
        <v>60</v>
      </c>
      <c r="B123" s="156" t="s">
        <v>466</v>
      </c>
      <c r="C123" s="444">
        <v>600</v>
      </c>
      <c r="D123" s="27">
        <f>D124</f>
        <v>289.89999999999998</v>
      </c>
      <c r="E123" s="27">
        <f>E124</f>
        <v>0</v>
      </c>
      <c r="F123" s="27">
        <f>F124</f>
        <v>0</v>
      </c>
      <c r="G123" s="152"/>
    </row>
    <row r="124" spans="1:7" s="177" customFormat="1" x14ac:dyDescent="0.25">
      <c r="A124" s="273" t="s">
        <v>61</v>
      </c>
      <c r="B124" s="156" t="s">
        <v>466</v>
      </c>
      <c r="C124" s="444">
        <v>610</v>
      </c>
      <c r="D124" s="27">
        <f>'Функц. 2025-2027'!F928</f>
        <v>289.89999999999998</v>
      </c>
      <c r="E124" s="27">
        <f>'Функц. 2025-2027'!H928</f>
        <v>0</v>
      </c>
      <c r="F124" s="27">
        <f>'Функц. 2025-2027'!J928</f>
        <v>0</v>
      </c>
      <c r="G124" s="152"/>
    </row>
    <row r="125" spans="1:7" s="177" customFormat="1" ht="36.75" customHeight="1" x14ac:dyDescent="0.25">
      <c r="A125" s="523" t="s">
        <v>770</v>
      </c>
      <c r="B125" s="156" t="s">
        <v>623</v>
      </c>
      <c r="C125" s="326"/>
      <c r="D125" s="27">
        <f t="shared" ref="D125:F126" si="43">D126</f>
        <v>1908</v>
      </c>
      <c r="E125" s="27">
        <f t="shared" si="43"/>
        <v>1908</v>
      </c>
      <c r="F125" s="27">
        <f t="shared" si="43"/>
        <v>1908</v>
      </c>
      <c r="G125" s="152"/>
    </row>
    <row r="126" spans="1:7" s="177" customFormat="1" ht="31.5" x14ac:dyDescent="0.25">
      <c r="A126" s="523" t="s">
        <v>60</v>
      </c>
      <c r="B126" s="156" t="s">
        <v>623</v>
      </c>
      <c r="C126" s="326">
        <v>600</v>
      </c>
      <c r="D126" s="27">
        <f t="shared" si="43"/>
        <v>1908</v>
      </c>
      <c r="E126" s="27">
        <f t="shared" si="43"/>
        <v>1908</v>
      </c>
      <c r="F126" s="27">
        <f t="shared" si="43"/>
        <v>1908</v>
      </c>
      <c r="G126" s="152"/>
    </row>
    <row r="127" spans="1:7" s="177" customFormat="1" x14ac:dyDescent="0.25">
      <c r="A127" s="523" t="s">
        <v>61</v>
      </c>
      <c r="B127" s="156" t="s">
        <v>623</v>
      </c>
      <c r="C127" s="326">
        <v>610</v>
      </c>
      <c r="D127" s="27">
        <f>'Функц. 2025-2027'!F666+'Функц. 2025-2027'!F637</f>
        <v>1908</v>
      </c>
      <c r="E127" s="433">
        <f>'Функц. 2025-2027'!H666+'Функц. 2025-2027'!H637</f>
        <v>1908</v>
      </c>
      <c r="F127" s="27">
        <f>'Функц. 2025-2027'!J666+'Функц. 2025-2027'!J637</f>
        <v>1908</v>
      </c>
      <c r="G127" s="152"/>
    </row>
    <row r="128" spans="1:7" s="519" customFormat="1" ht="63" x14ac:dyDescent="0.25">
      <c r="A128" s="451" t="s">
        <v>655</v>
      </c>
      <c r="B128" s="615" t="s">
        <v>656</v>
      </c>
      <c r="C128" s="460"/>
      <c r="D128" s="517">
        <f>D129</f>
        <v>2535</v>
      </c>
      <c r="E128" s="517">
        <f t="shared" ref="E128:F129" si="44">E129</f>
        <v>0</v>
      </c>
      <c r="F128" s="517">
        <f t="shared" si="44"/>
        <v>0</v>
      </c>
      <c r="G128" s="520"/>
    </row>
    <row r="129" spans="1:30" s="519" customFormat="1" ht="31.5" x14ac:dyDescent="0.25">
      <c r="A129" s="451" t="s">
        <v>60</v>
      </c>
      <c r="B129" s="615" t="s">
        <v>656</v>
      </c>
      <c r="C129" s="460">
        <v>600</v>
      </c>
      <c r="D129" s="517">
        <f>D130</f>
        <v>2535</v>
      </c>
      <c r="E129" s="517">
        <f t="shared" si="44"/>
        <v>0</v>
      </c>
      <c r="F129" s="517">
        <f t="shared" si="44"/>
        <v>0</v>
      </c>
      <c r="G129" s="520"/>
    </row>
    <row r="130" spans="1:30" s="519" customFormat="1" x14ac:dyDescent="0.25">
      <c r="A130" s="451" t="s">
        <v>61</v>
      </c>
      <c r="B130" s="615" t="s">
        <v>656</v>
      </c>
      <c r="C130" s="460">
        <v>610</v>
      </c>
      <c r="D130" s="517">
        <f>'Функц. 2025-2027'!F669</f>
        <v>2535</v>
      </c>
      <c r="E130" s="517">
        <f>'Функц. 2025-2027'!I669</f>
        <v>0</v>
      </c>
      <c r="F130" s="517">
        <f>'Функц. 2025-2027'!J669</f>
        <v>0</v>
      </c>
      <c r="G130" s="520"/>
    </row>
    <row r="131" spans="1:30" s="519" customFormat="1" ht="31.5" x14ac:dyDescent="0.25">
      <c r="A131" s="451" t="s">
        <v>777</v>
      </c>
      <c r="B131" s="615" t="s">
        <v>661</v>
      </c>
      <c r="C131" s="460"/>
      <c r="D131" s="517">
        <f>D132</f>
        <v>32185</v>
      </c>
      <c r="E131" s="517">
        <f t="shared" ref="E131:AD132" si="45">E132</f>
        <v>51247</v>
      </c>
      <c r="F131" s="517">
        <f t="shared" si="45"/>
        <v>51247</v>
      </c>
      <c r="G131" s="517">
        <f t="shared" si="45"/>
        <v>0</v>
      </c>
      <c r="H131" s="517">
        <f t="shared" si="45"/>
        <v>0</v>
      </c>
      <c r="I131" s="517">
        <f t="shared" si="45"/>
        <v>0</v>
      </c>
      <c r="J131" s="517">
        <f t="shared" si="45"/>
        <v>0</v>
      </c>
      <c r="K131" s="517">
        <f t="shared" si="45"/>
        <v>0</v>
      </c>
      <c r="L131" s="517">
        <f t="shared" si="45"/>
        <v>0</v>
      </c>
      <c r="M131" s="517">
        <f t="shared" si="45"/>
        <v>0</v>
      </c>
      <c r="N131" s="517">
        <f t="shared" si="45"/>
        <v>0</v>
      </c>
      <c r="O131" s="517">
        <f t="shared" si="45"/>
        <v>0</v>
      </c>
      <c r="P131" s="517">
        <f t="shared" si="45"/>
        <v>0</v>
      </c>
      <c r="Q131" s="517">
        <f t="shared" si="45"/>
        <v>0</v>
      </c>
      <c r="R131" s="517">
        <f t="shared" si="45"/>
        <v>0</v>
      </c>
      <c r="S131" s="517">
        <f t="shared" si="45"/>
        <v>0</v>
      </c>
      <c r="T131" s="517">
        <f t="shared" si="45"/>
        <v>0</v>
      </c>
      <c r="U131" s="517">
        <f t="shared" si="45"/>
        <v>0</v>
      </c>
      <c r="V131" s="517">
        <f t="shared" si="45"/>
        <v>0</v>
      </c>
      <c r="W131" s="517">
        <f t="shared" si="45"/>
        <v>0</v>
      </c>
      <c r="X131" s="517">
        <f t="shared" si="45"/>
        <v>0</v>
      </c>
      <c r="Y131" s="517">
        <f t="shared" si="45"/>
        <v>0</v>
      </c>
      <c r="Z131" s="517">
        <f t="shared" si="45"/>
        <v>0</v>
      </c>
      <c r="AA131" s="517">
        <f t="shared" si="45"/>
        <v>0</v>
      </c>
      <c r="AB131" s="517">
        <f t="shared" si="45"/>
        <v>0</v>
      </c>
      <c r="AC131" s="517">
        <f t="shared" si="45"/>
        <v>0</v>
      </c>
      <c r="AD131" s="517">
        <f t="shared" si="45"/>
        <v>0</v>
      </c>
    </row>
    <row r="132" spans="1:30" s="519" customFormat="1" ht="31.5" x14ac:dyDescent="0.25">
      <c r="A132" s="451" t="s">
        <v>60</v>
      </c>
      <c r="B132" s="615" t="s">
        <v>661</v>
      </c>
      <c r="C132" s="460">
        <v>600</v>
      </c>
      <c r="D132" s="517">
        <f>D133</f>
        <v>32185</v>
      </c>
      <c r="E132" s="517">
        <f t="shared" si="45"/>
        <v>51247</v>
      </c>
      <c r="F132" s="517">
        <f t="shared" si="45"/>
        <v>51247</v>
      </c>
      <c r="G132" s="520"/>
    </row>
    <row r="133" spans="1:30" s="519" customFormat="1" x14ac:dyDescent="0.25">
      <c r="A133" s="451" t="s">
        <v>61</v>
      </c>
      <c r="B133" s="615" t="s">
        <v>661</v>
      </c>
      <c r="C133" s="460">
        <v>610</v>
      </c>
      <c r="D133" s="517">
        <f>'Функц. 2025-2027'!F640+'Функц. 2025-2027'!F672+'Функц. 2025-2027'!F741</f>
        <v>32185</v>
      </c>
      <c r="E133" s="517">
        <f>'Функц. 2025-2027'!H640+'Функц. 2025-2027'!H672+'Функц. 2025-2027'!H741</f>
        <v>51247</v>
      </c>
      <c r="F133" s="517">
        <f>'Функц. 2025-2027'!J640+'Функц. 2025-2027'!J672+'Функц. 2025-2027'!J741</f>
        <v>51247</v>
      </c>
      <c r="G133" s="520"/>
    </row>
    <row r="134" spans="1:30" s="177" customFormat="1" ht="47.25" x14ac:dyDescent="0.25">
      <c r="A134" s="273" t="s">
        <v>448</v>
      </c>
      <c r="B134" s="156" t="s">
        <v>126</v>
      </c>
      <c r="C134" s="444"/>
      <c r="D134" s="27">
        <f>D135+D138+D141+D144</f>
        <v>48825.299999999996</v>
      </c>
      <c r="E134" s="517">
        <f t="shared" ref="E134:F134" si="46">E135+E138+E141+E144</f>
        <v>51469</v>
      </c>
      <c r="F134" s="517">
        <f t="shared" si="46"/>
        <v>38704.6</v>
      </c>
      <c r="G134" s="517" t="e">
        <f>G135+#REF!+#REF!+G138</f>
        <v>#REF!</v>
      </c>
      <c r="H134" s="517" t="e">
        <f>H135+#REF!+#REF!+H138</f>
        <v>#REF!</v>
      </c>
      <c r="I134" s="517" t="e">
        <f>I135+#REF!+#REF!+I138</f>
        <v>#REF!</v>
      </c>
      <c r="J134" s="517" t="e">
        <f>J135+#REF!+#REF!+J138</f>
        <v>#REF!</v>
      </c>
      <c r="K134" s="517" t="e">
        <f>K135+#REF!+#REF!+K138</f>
        <v>#REF!</v>
      </c>
      <c r="L134" s="517" t="e">
        <f>L135+#REF!+#REF!+L138</f>
        <v>#REF!</v>
      </c>
      <c r="M134" s="517" t="e">
        <f>M135+#REF!+#REF!+M138</f>
        <v>#REF!</v>
      </c>
      <c r="N134" s="517" t="e">
        <f>N135+#REF!+#REF!+N138</f>
        <v>#REF!</v>
      </c>
      <c r="O134" s="517" t="e">
        <f>O135+#REF!+#REF!+O138</f>
        <v>#REF!</v>
      </c>
      <c r="P134" s="517" t="e">
        <f>P135+#REF!+#REF!+P138</f>
        <v>#REF!</v>
      </c>
      <c r="Q134" s="517" t="e">
        <f>Q135+#REF!+#REF!+Q138</f>
        <v>#REF!</v>
      </c>
      <c r="R134" s="517" t="e">
        <f>R135+#REF!+#REF!+R138</f>
        <v>#REF!</v>
      </c>
      <c r="S134" s="517" t="e">
        <f>S135+#REF!+#REF!+S138</f>
        <v>#REF!</v>
      </c>
      <c r="T134" s="517" t="e">
        <f>T135+#REF!+#REF!+T138</f>
        <v>#REF!</v>
      </c>
      <c r="U134" s="517" t="e">
        <f>U135+#REF!+#REF!+U138</f>
        <v>#REF!</v>
      </c>
      <c r="V134" s="517" t="e">
        <f>V135+#REF!+#REF!+V138</f>
        <v>#REF!</v>
      </c>
      <c r="W134" s="517" t="e">
        <f>W135+#REF!+#REF!+W138</f>
        <v>#REF!</v>
      </c>
      <c r="X134" s="517" t="e">
        <f>X135+#REF!+#REF!+X138</f>
        <v>#REF!</v>
      </c>
      <c r="Y134" s="517" t="e">
        <f>Y135+#REF!+#REF!+Y138</f>
        <v>#REF!</v>
      </c>
      <c r="Z134" s="517" t="e">
        <f>Z135+#REF!+#REF!+Z138</f>
        <v>#REF!</v>
      </c>
      <c r="AA134" s="517" t="e">
        <f>AA135+#REF!+#REF!+AA138</f>
        <v>#REF!</v>
      </c>
      <c r="AB134" s="517" t="e">
        <f>AB135+#REF!+#REF!+AB138</f>
        <v>#REF!</v>
      </c>
      <c r="AC134" s="517" t="e">
        <f>AC135+#REF!+#REF!+AC138</f>
        <v>#REF!</v>
      </c>
      <c r="AD134" s="517" t="e">
        <f>AD135+#REF!+#REF!+AD138</f>
        <v>#REF!</v>
      </c>
    </row>
    <row r="135" spans="1:30" ht="31.5" x14ac:dyDescent="0.25">
      <c r="A135" s="273" t="s">
        <v>509</v>
      </c>
      <c r="B135" s="156" t="s">
        <v>471</v>
      </c>
      <c r="C135" s="444"/>
      <c r="D135" s="27">
        <f t="shared" ref="D135:F136" si="47">D136</f>
        <v>18</v>
      </c>
      <c r="E135" s="27">
        <f t="shared" si="47"/>
        <v>18</v>
      </c>
      <c r="F135" s="27">
        <f t="shared" si="47"/>
        <v>18</v>
      </c>
      <c r="G135" s="152"/>
    </row>
    <row r="136" spans="1:30" ht="31.5" x14ac:dyDescent="0.25">
      <c r="A136" s="273" t="s">
        <v>60</v>
      </c>
      <c r="B136" s="156" t="s">
        <v>471</v>
      </c>
      <c r="C136" s="407">
        <v>600</v>
      </c>
      <c r="D136" s="27">
        <f t="shared" si="47"/>
        <v>18</v>
      </c>
      <c r="E136" s="27">
        <f t="shared" si="47"/>
        <v>18</v>
      </c>
      <c r="F136" s="27">
        <f t="shared" si="47"/>
        <v>18</v>
      </c>
      <c r="G136" s="152"/>
    </row>
    <row r="137" spans="1:30" x14ac:dyDescent="0.25">
      <c r="A137" s="273" t="s">
        <v>61</v>
      </c>
      <c r="B137" s="156" t="s">
        <v>471</v>
      </c>
      <c r="C137" s="407">
        <v>610</v>
      </c>
      <c r="D137" s="27">
        <f>'Функц. 2025-2027'!F676</f>
        <v>18</v>
      </c>
      <c r="E137" s="27">
        <f>'Функц. 2025-2027'!H676</f>
        <v>18</v>
      </c>
      <c r="F137" s="27">
        <f>'Функц. 2025-2027'!J676</f>
        <v>18</v>
      </c>
      <c r="G137" s="152"/>
    </row>
    <row r="138" spans="1:30" s="177" customFormat="1" ht="63" x14ac:dyDescent="0.25">
      <c r="A138" s="451" t="s">
        <v>747</v>
      </c>
      <c r="B138" s="26" t="s">
        <v>746</v>
      </c>
      <c r="C138" s="444"/>
      <c r="D138" s="27">
        <f t="shared" ref="D138:F139" si="48">D139</f>
        <v>39953.799999999996</v>
      </c>
      <c r="E138" s="27">
        <f t="shared" si="48"/>
        <v>39547.4</v>
      </c>
      <c r="F138" s="27">
        <f t="shared" si="48"/>
        <v>38686.6</v>
      </c>
      <c r="G138" s="152"/>
    </row>
    <row r="139" spans="1:30" s="177" customFormat="1" x14ac:dyDescent="0.25">
      <c r="A139" s="273" t="s">
        <v>120</v>
      </c>
      <c r="B139" s="26" t="s">
        <v>746</v>
      </c>
      <c r="C139" s="444">
        <v>200</v>
      </c>
      <c r="D139" s="27">
        <f t="shared" si="48"/>
        <v>39953.799999999996</v>
      </c>
      <c r="E139" s="27">
        <f t="shared" si="48"/>
        <v>39547.4</v>
      </c>
      <c r="F139" s="27">
        <f t="shared" si="48"/>
        <v>38686.6</v>
      </c>
      <c r="G139" s="152"/>
    </row>
    <row r="140" spans="1:30" s="177" customFormat="1" x14ac:dyDescent="0.25">
      <c r="A140" s="273" t="s">
        <v>52</v>
      </c>
      <c r="B140" s="26" t="s">
        <v>746</v>
      </c>
      <c r="C140" s="444">
        <v>240</v>
      </c>
      <c r="D140" s="27">
        <f>'Функц. 2025-2027'!F679</f>
        <v>39953.799999999996</v>
      </c>
      <c r="E140" s="27">
        <f>'Функц. 2025-2027'!H679</f>
        <v>39547.4</v>
      </c>
      <c r="F140" s="27">
        <f>'Функц. 2025-2027'!J679</f>
        <v>38686.6</v>
      </c>
      <c r="G140" s="152"/>
    </row>
    <row r="141" spans="1:30" s="519" customFormat="1" ht="63" x14ac:dyDescent="0.25">
      <c r="A141" s="451" t="s">
        <v>798</v>
      </c>
      <c r="B141" s="458" t="s">
        <v>799</v>
      </c>
      <c r="C141" s="456"/>
      <c r="D141" s="517">
        <f>D142</f>
        <v>2163</v>
      </c>
      <c r="E141" s="517">
        <f t="shared" ref="E141:F142" si="49">E142</f>
        <v>0</v>
      </c>
      <c r="F141" s="517">
        <f t="shared" si="49"/>
        <v>0</v>
      </c>
      <c r="G141" s="520"/>
    </row>
    <row r="142" spans="1:30" s="519" customFormat="1" ht="31.5" x14ac:dyDescent="0.25">
      <c r="A142" s="451" t="s">
        <v>60</v>
      </c>
      <c r="B142" s="458" t="s">
        <v>799</v>
      </c>
      <c r="C142" s="456">
        <v>600</v>
      </c>
      <c r="D142" s="517">
        <f>D143</f>
        <v>2163</v>
      </c>
      <c r="E142" s="517">
        <f t="shared" si="49"/>
        <v>0</v>
      </c>
      <c r="F142" s="517">
        <f t="shared" si="49"/>
        <v>0</v>
      </c>
      <c r="G142" s="520"/>
    </row>
    <row r="143" spans="1:30" s="519" customFormat="1" x14ac:dyDescent="0.25">
      <c r="A143" s="451" t="s">
        <v>61</v>
      </c>
      <c r="B143" s="458" t="s">
        <v>799</v>
      </c>
      <c r="C143" s="456">
        <v>610</v>
      </c>
      <c r="D143" s="517">
        <f>'Функц. 2025-2027'!F644</f>
        <v>2163</v>
      </c>
      <c r="E143" s="517">
        <f>'Функц. 2025-2027'!H644</f>
        <v>0</v>
      </c>
      <c r="F143" s="517">
        <f>'Функц. 2025-2027'!J644</f>
        <v>0</v>
      </c>
      <c r="G143" s="520"/>
    </row>
    <row r="144" spans="1:30" s="519" customFormat="1" ht="31.5" x14ac:dyDescent="0.25">
      <c r="A144" s="451" t="s">
        <v>833</v>
      </c>
      <c r="B144" s="541" t="s">
        <v>834</v>
      </c>
      <c r="C144" s="454"/>
      <c r="D144" s="517">
        <f>D145</f>
        <v>6690.5</v>
      </c>
      <c r="E144" s="517">
        <f t="shared" ref="E144:F145" si="50">E145</f>
        <v>11903.6</v>
      </c>
      <c r="F144" s="517">
        <f t="shared" si="50"/>
        <v>0</v>
      </c>
      <c r="G144" s="520"/>
    </row>
    <row r="145" spans="1:7" s="519" customFormat="1" x14ac:dyDescent="0.25">
      <c r="A145" s="451" t="s">
        <v>120</v>
      </c>
      <c r="B145" s="541" t="s">
        <v>834</v>
      </c>
      <c r="C145" s="454">
        <v>200</v>
      </c>
      <c r="D145" s="517">
        <f>D146</f>
        <v>6690.5</v>
      </c>
      <c r="E145" s="517">
        <f t="shared" si="50"/>
        <v>11903.6</v>
      </c>
      <c r="F145" s="517">
        <f t="shared" si="50"/>
        <v>0</v>
      </c>
      <c r="G145" s="520"/>
    </row>
    <row r="146" spans="1:7" s="519" customFormat="1" x14ac:dyDescent="0.25">
      <c r="A146" s="451" t="s">
        <v>52</v>
      </c>
      <c r="B146" s="541" t="s">
        <v>834</v>
      </c>
      <c r="C146" s="454">
        <v>240</v>
      </c>
      <c r="D146" s="517">
        <f>'Функц. 2025-2027'!F682</f>
        <v>6690.5</v>
      </c>
      <c r="E146" s="517">
        <f>'Функц. 2025-2027'!H682</f>
        <v>11903.6</v>
      </c>
      <c r="F146" s="517">
        <f>'Функц. 2025-2027'!J682</f>
        <v>0</v>
      </c>
      <c r="G146" s="520"/>
    </row>
    <row r="147" spans="1:7" s="519" customFormat="1" x14ac:dyDescent="0.25">
      <c r="A147" s="451" t="s">
        <v>838</v>
      </c>
      <c r="B147" s="542" t="s">
        <v>840</v>
      </c>
      <c r="C147" s="454"/>
      <c r="D147" s="517">
        <f>D148</f>
        <v>8763.1</v>
      </c>
      <c r="E147" s="517">
        <f t="shared" ref="E147:F149" si="51">E148</f>
        <v>0</v>
      </c>
      <c r="F147" s="517">
        <f t="shared" si="51"/>
        <v>0</v>
      </c>
      <c r="G147" s="520"/>
    </row>
    <row r="148" spans="1:7" s="519" customFormat="1" x14ac:dyDescent="0.25">
      <c r="A148" s="451" t="s">
        <v>839</v>
      </c>
      <c r="B148" s="542" t="s">
        <v>841</v>
      </c>
      <c r="C148" s="454"/>
      <c r="D148" s="517">
        <f>D149</f>
        <v>8763.1</v>
      </c>
      <c r="E148" s="517">
        <f t="shared" si="51"/>
        <v>0</v>
      </c>
      <c r="F148" s="517">
        <f t="shared" si="51"/>
        <v>0</v>
      </c>
      <c r="G148" s="520"/>
    </row>
    <row r="149" spans="1:7" s="519" customFormat="1" ht="31.5" x14ac:dyDescent="0.25">
      <c r="A149" s="451" t="s">
        <v>60</v>
      </c>
      <c r="B149" s="542" t="s">
        <v>841</v>
      </c>
      <c r="C149" s="482">
        <v>600</v>
      </c>
      <c r="D149" s="517">
        <f>D150</f>
        <v>8763.1</v>
      </c>
      <c r="E149" s="517">
        <f t="shared" si="51"/>
        <v>0</v>
      </c>
      <c r="F149" s="517">
        <f t="shared" si="51"/>
        <v>0</v>
      </c>
      <c r="G149" s="520"/>
    </row>
    <row r="150" spans="1:7" s="519" customFormat="1" x14ac:dyDescent="0.25">
      <c r="A150" s="451" t="s">
        <v>61</v>
      </c>
      <c r="B150" s="542" t="s">
        <v>841</v>
      </c>
      <c r="C150" s="482">
        <v>610</v>
      </c>
      <c r="D150" s="517">
        <f>'Функц. 2025-2027'!F686</f>
        <v>8763.1</v>
      </c>
      <c r="E150" s="517">
        <f>'Функц. 2025-2027'!H686</f>
        <v>0</v>
      </c>
      <c r="F150" s="517">
        <f>'Функц. 2025-2027'!J686</f>
        <v>0</v>
      </c>
      <c r="G150" s="520"/>
    </row>
    <row r="151" spans="1:7" ht="47.25" x14ac:dyDescent="0.25">
      <c r="A151" s="271" t="s">
        <v>312</v>
      </c>
      <c r="B151" s="156" t="s">
        <v>472</v>
      </c>
      <c r="C151" s="407"/>
      <c r="D151" s="27">
        <f>D152+D155</f>
        <v>5379.9</v>
      </c>
      <c r="E151" s="27">
        <f>E152+E155</f>
        <v>5237.8999999999996</v>
      </c>
      <c r="F151" s="27">
        <f>F152+F155</f>
        <v>5237.8999999999996</v>
      </c>
      <c r="G151" s="152"/>
    </row>
    <row r="152" spans="1:7" ht="47.25" x14ac:dyDescent="0.25">
      <c r="A152" s="271" t="s">
        <v>431</v>
      </c>
      <c r="B152" s="156" t="s">
        <v>473</v>
      </c>
      <c r="C152" s="407"/>
      <c r="D152" s="27">
        <f t="shared" ref="D152:F153" si="52">D153</f>
        <v>1865.9</v>
      </c>
      <c r="E152" s="27">
        <f t="shared" si="52"/>
        <v>1865.9</v>
      </c>
      <c r="F152" s="27">
        <f t="shared" si="52"/>
        <v>1865.9</v>
      </c>
      <c r="G152" s="152"/>
    </row>
    <row r="153" spans="1:7" ht="31.5" x14ac:dyDescent="0.25">
      <c r="A153" s="273" t="s">
        <v>60</v>
      </c>
      <c r="B153" s="156" t="s">
        <v>473</v>
      </c>
      <c r="C153" s="407">
        <v>600</v>
      </c>
      <c r="D153" s="27">
        <f t="shared" si="52"/>
        <v>1865.9</v>
      </c>
      <c r="E153" s="27">
        <f t="shared" si="52"/>
        <v>1865.9</v>
      </c>
      <c r="F153" s="27">
        <f t="shared" si="52"/>
        <v>1865.9</v>
      </c>
      <c r="G153" s="152"/>
    </row>
    <row r="154" spans="1:7" x14ac:dyDescent="0.25">
      <c r="A154" s="273" t="s">
        <v>61</v>
      </c>
      <c r="B154" s="156" t="s">
        <v>473</v>
      </c>
      <c r="C154" s="407">
        <v>610</v>
      </c>
      <c r="D154" s="27">
        <f>'Функц. 2025-2027'!F690</f>
        <v>1865.9</v>
      </c>
      <c r="E154" s="27">
        <f>'Функц. 2025-2027'!H690</f>
        <v>1865.9</v>
      </c>
      <c r="F154" s="27">
        <f>'Функц. 2025-2027'!J690</f>
        <v>1865.9</v>
      </c>
      <c r="G154" s="152"/>
    </row>
    <row r="155" spans="1:7" s="177" customFormat="1" ht="63" x14ac:dyDescent="0.25">
      <c r="A155" s="523" t="s">
        <v>624</v>
      </c>
      <c r="B155" s="156" t="s">
        <v>622</v>
      </c>
      <c r="C155" s="430"/>
      <c r="D155" s="27">
        <f t="shared" ref="D155:F156" si="53">D156</f>
        <v>3514</v>
      </c>
      <c r="E155" s="27">
        <f t="shared" si="53"/>
        <v>3372</v>
      </c>
      <c r="F155" s="27">
        <f t="shared" si="53"/>
        <v>3372</v>
      </c>
      <c r="G155" s="152"/>
    </row>
    <row r="156" spans="1:7" s="177" customFormat="1" ht="31.5" x14ac:dyDescent="0.25">
      <c r="A156" s="523" t="s">
        <v>60</v>
      </c>
      <c r="B156" s="156" t="s">
        <v>622</v>
      </c>
      <c r="C156" s="407">
        <v>600</v>
      </c>
      <c r="D156" s="27">
        <f t="shared" si="53"/>
        <v>3514</v>
      </c>
      <c r="E156" s="27">
        <f t="shared" si="53"/>
        <v>3372</v>
      </c>
      <c r="F156" s="27">
        <f t="shared" si="53"/>
        <v>3372</v>
      </c>
      <c r="G156" s="152"/>
    </row>
    <row r="157" spans="1:7" s="177" customFormat="1" x14ac:dyDescent="0.25">
      <c r="A157" s="523" t="s">
        <v>61</v>
      </c>
      <c r="B157" s="156" t="s">
        <v>622</v>
      </c>
      <c r="C157" s="407">
        <v>610</v>
      </c>
      <c r="D157" s="27">
        <f>'Функц. 2025-2027'!F693</f>
        <v>3514</v>
      </c>
      <c r="E157" s="27">
        <f>'Функц. 2025-2027'!H693</f>
        <v>3372</v>
      </c>
      <c r="F157" s="27">
        <f>'Функц. 2025-2027'!J693</f>
        <v>3372</v>
      </c>
      <c r="G157" s="152"/>
    </row>
    <row r="158" spans="1:7" s="519" customFormat="1" x14ac:dyDescent="0.25">
      <c r="A158" s="523" t="s">
        <v>740</v>
      </c>
      <c r="B158" s="156" t="s">
        <v>741</v>
      </c>
      <c r="C158" s="407"/>
      <c r="D158" s="517">
        <f>D159</f>
        <v>2483.4</v>
      </c>
      <c r="E158" s="517">
        <f t="shared" ref="E158:F160" si="54">E159</f>
        <v>0</v>
      </c>
      <c r="F158" s="517">
        <f t="shared" si="54"/>
        <v>0</v>
      </c>
      <c r="G158" s="520"/>
    </row>
    <row r="159" spans="1:7" s="519" customFormat="1" ht="31.5" x14ac:dyDescent="0.25">
      <c r="A159" s="523" t="s">
        <v>742</v>
      </c>
      <c r="B159" s="156" t="s">
        <v>743</v>
      </c>
      <c r="C159" s="407"/>
      <c r="D159" s="517">
        <f>D160</f>
        <v>2483.4</v>
      </c>
      <c r="E159" s="517">
        <f t="shared" si="54"/>
        <v>0</v>
      </c>
      <c r="F159" s="517">
        <f t="shared" si="54"/>
        <v>0</v>
      </c>
      <c r="G159" s="520"/>
    </row>
    <row r="160" spans="1:7" s="519" customFormat="1" x14ac:dyDescent="0.25">
      <c r="A160" s="273" t="s">
        <v>120</v>
      </c>
      <c r="B160" s="156" t="s">
        <v>743</v>
      </c>
      <c r="C160" s="407">
        <v>200</v>
      </c>
      <c r="D160" s="517">
        <f>D161</f>
        <v>2483.4</v>
      </c>
      <c r="E160" s="517">
        <f t="shared" si="54"/>
        <v>0</v>
      </c>
      <c r="F160" s="517">
        <f t="shared" si="54"/>
        <v>0</v>
      </c>
      <c r="G160" s="520"/>
    </row>
    <row r="161" spans="1:30" s="519" customFormat="1" x14ac:dyDescent="0.25">
      <c r="A161" s="273" t="s">
        <v>52</v>
      </c>
      <c r="B161" s="156" t="s">
        <v>743</v>
      </c>
      <c r="C161" s="407">
        <v>240</v>
      </c>
      <c r="D161" s="517">
        <f>'Функц. 2025-2027'!F697</f>
        <v>2483.4</v>
      </c>
      <c r="E161" s="517">
        <f>'Функц. 2025-2027'!H697</f>
        <v>0</v>
      </c>
      <c r="F161" s="517">
        <f>'ведом. 2025-2027'!AF750</f>
        <v>0</v>
      </c>
      <c r="G161" s="520"/>
    </row>
    <row r="162" spans="1:30" s="519" customFormat="1" x14ac:dyDescent="0.25">
      <c r="A162" s="523" t="s">
        <v>657</v>
      </c>
      <c r="B162" s="156" t="s">
        <v>658</v>
      </c>
      <c r="C162" s="407"/>
      <c r="D162" s="517">
        <f>D169+D166+D163</f>
        <v>40116</v>
      </c>
      <c r="E162" s="517">
        <f t="shared" ref="E162:F162" si="55">E169+E166+E163</f>
        <v>40141.5</v>
      </c>
      <c r="F162" s="517">
        <f t="shared" si="55"/>
        <v>40172.5</v>
      </c>
      <c r="G162" s="517">
        <f t="shared" ref="G162:AD162" si="56">G169</f>
        <v>0</v>
      </c>
      <c r="H162" s="517">
        <f t="shared" si="56"/>
        <v>0</v>
      </c>
      <c r="I162" s="517">
        <f t="shared" si="56"/>
        <v>0</v>
      </c>
      <c r="J162" s="517">
        <f t="shared" si="56"/>
        <v>0</v>
      </c>
      <c r="K162" s="517">
        <f t="shared" si="56"/>
        <v>0</v>
      </c>
      <c r="L162" s="517">
        <f t="shared" si="56"/>
        <v>0</v>
      </c>
      <c r="M162" s="517">
        <f t="shared" si="56"/>
        <v>0</v>
      </c>
      <c r="N162" s="517">
        <f t="shared" si="56"/>
        <v>0</v>
      </c>
      <c r="O162" s="517">
        <f t="shared" si="56"/>
        <v>0</v>
      </c>
      <c r="P162" s="517">
        <f t="shared" si="56"/>
        <v>0</v>
      </c>
      <c r="Q162" s="517">
        <f t="shared" si="56"/>
        <v>0</v>
      </c>
      <c r="R162" s="517">
        <f t="shared" si="56"/>
        <v>0</v>
      </c>
      <c r="S162" s="517">
        <f t="shared" si="56"/>
        <v>0</v>
      </c>
      <c r="T162" s="517">
        <f t="shared" si="56"/>
        <v>0</v>
      </c>
      <c r="U162" s="517">
        <f t="shared" si="56"/>
        <v>0</v>
      </c>
      <c r="V162" s="517">
        <f t="shared" si="56"/>
        <v>0</v>
      </c>
      <c r="W162" s="517">
        <f t="shared" si="56"/>
        <v>0</v>
      </c>
      <c r="X162" s="517">
        <f t="shared" si="56"/>
        <v>0</v>
      </c>
      <c r="Y162" s="517">
        <f t="shared" si="56"/>
        <v>0</v>
      </c>
      <c r="Z162" s="517">
        <f t="shared" si="56"/>
        <v>0</v>
      </c>
      <c r="AA162" s="517">
        <f t="shared" si="56"/>
        <v>0</v>
      </c>
      <c r="AB162" s="517">
        <f t="shared" si="56"/>
        <v>0</v>
      </c>
      <c r="AC162" s="517">
        <f t="shared" si="56"/>
        <v>0</v>
      </c>
      <c r="AD162" s="517">
        <f t="shared" si="56"/>
        <v>0</v>
      </c>
    </row>
    <row r="163" spans="1:30" s="519" customFormat="1" ht="94.5" x14ac:dyDescent="0.25">
      <c r="A163" s="523" t="s">
        <v>744</v>
      </c>
      <c r="B163" s="156" t="s">
        <v>745</v>
      </c>
      <c r="C163" s="407"/>
      <c r="D163" s="517">
        <f>D164</f>
        <v>312.5</v>
      </c>
      <c r="E163" s="517">
        <f t="shared" ref="E163:F163" si="57">E164</f>
        <v>312.5</v>
      </c>
      <c r="F163" s="517">
        <f t="shared" si="57"/>
        <v>312.5</v>
      </c>
      <c r="G163" s="127"/>
      <c r="H163" s="127"/>
      <c r="I163" s="127"/>
      <c r="J163" s="127"/>
      <c r="K163" s="127"/>
      <c r="L163" s="127"/>
      <c r="M163" s="127"/>
      <c r="N163" s="127"/>
      <c r="O163" s="127"/>
      <c r="P163" s="127"/>
      <c r="Q163" s="127"/>
      <c r="R163" s="127"/>
      <c r="S163" s="127"/>
      <c r="T163" s="127"/>
      <c r="U163" s="127"/>
      <c r="V163" s="127"/>
      <c r="W163" s="127"/>
      <c r="X163" s="127"/>
      <c r="Y163" s="127"/>
      <c r="Z163" s="127"/>
      <c r="AA163" s="127"/>
      <c r="AB163" s="127"/>
      <c r="AC163" s="127"/>
      <c r="AD163" s="127"/>
    </row>
    <row r="164" spans="1:30" s="519" customFormat="1" ht="31.5" x14ac:dyDescent="0.25">
      <c r="A164" s="523" t="s">
        <v>60</v>
      </c>
      <c r="B164" s="156" t="s">
        <v>745</v>
      </c>
      <c r="C164" s="407">
        <v>600</v>
      </c>
      <c r="D164" s="517">
        <f>D165</f>
        <v>312.5</v>
      </c>
      <c r="E164" s="517">
        <f t="shared" ref="E164:F164" si="58">E165</f>
        <v>312.5</v>
      </c>
      <c r="F164" s="517">
        <f t="shared" si="58"/>
        <v>312.5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519" customFormat="1" x14ac:dyDescent="0.25">
      <c r="A165" s="523" t="s">
        <v>61</v>
      </c>
      <c r="B165" s="156" t="s">
        <v>745</v>
      </c>
      <c r="C165" s="407">
        <v>610</v>
      </c>
      <c r="D165" s="517">
        <f>'Функц. 2025-2027'!F701</f>
        <v>312.5</v>
      </c>
      <c r="E165" s="517">
        <f>'Функц. 2025-2027'!H701</f>
        <v>312.5</v>
      </c>
      <c r="F165" s="517">
        <f>'Функц. 2025-2027'!J701</f>
        <v>312.5</v>
      </c>
      <c r="G165" s="127"/>
      <c r="H165" s="127"/>
      <c r="I165" s="127"/>
      <c r="J165" s="127"/>
      <c r="K165" s="127"/>
      <c r="L165" s="127"/>
      <c r="M165" s="127"/>
      <c r="N165" s="127"/>
      <c r="O165" s="127"/>
      <c r="P165" s="127"/>
      <c r="Q165" s="127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</row>
    <row r="166" spans="1:30" s="519" customFormat="1" ht="47.25" x14ac:dyDescent="0.25">
      <c r="A166" s="523" t="s">
        <v>662</v>
      </c>
      <c r="B166" s="156" t="s">
        <v>663</v>
      </c>
      <c r="C166" s="407"/>
      <c r="D166" s="517">
        <f>D167</f>
        <v>1680.5</v>
      </c>
      <c r="E166" s="517">
        <f t="shared" ref="E166:F167" si="59">E167</f>
        <v>1706</v>
      </c>
      <c r="F166" s="517">
        <f t="shared" si="59"/>
        <v>1737</v>
      </c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</row>
    <row r="167" spans="1:30" s="519" customFormat="1" ht="31.5" x14ac:dyDescent="0.25">
      <c r="A167" s="451" t="s">
        <v>60</v>
      </c>
      <c r="B167" s="156" t="s">
        <v>663</v>
      </c>
      <c r="C167" s="407">
        <v>600</v>
      </c>
      <c r="D167" s="517">
        <f>D168</f>
        <v>1680.5</v>
      </c>
      <c r="E167" s="517">
        <f t="shared" si="59"/>
        <v>1706</v>
      </c>
      <c r="F167" s="517">
        <f t="shared" si="59"/>
        <v>1737</v>
      </c>
      <c r="G167" s="517">
        <f t="shared" ref="G167:AD167" si="60">G168</f>
        <v>0</v>
      </c>
      <c r="H167" s="517">
        <f t="shared" si="60"/>
        <v>0</v>
      </c>
      <c r="I167" s="517">
        <f t="shared" si="60"/>
        <v>0</v>
      </c>
      <c r="J167" s="517">
        <f t="shared" si="60"/>
        <v>0</v>
      </c>
      <c r="K167" s="517">
        <f t="shared" si="60"/>
        <v>0</v>
      </c>
      <c r="L167" s="517">
        <f t="shared" si="60"/>
        <v>0</v>
      </c>
      <c r="M167" s="517">
        <f t="shared" si="60"/>
        <v>0</v>
      </c>
      <c r="N167" s="517">
        <f t="shared" si="60"/>
        <v>0</v>
      </c>
      <c r="O167" s="517">
        <f t="shared" si="60"/>
        <v>0</v>
      </c>
      <c r="P167" s="517">
        <f t="shared" si="60"/>
        <v>0</v>
      </c>
      <c r="Q167" s="517">
        <f t="shared" si="60"/>
        <v>0</v>
      </c>
      <c r="R167" s="517">
        <f t="shared" si="60"/>
        <v>0</v>
      </c>
      <c r="S167" s="517">
        <f t="shared" si="60"/>
        <v>0</v>
      </c>
      <c r="T167" s="517">
        <f t="shared" si="60"/>
        <v>0</v>
      </c>
      <c r="U167" s="517">
        <f t="shared" si="60"/>
        <v>0</v>
      </c>
      <c r="V167" s="517">
        <f t="shared" si="60"/>
        <v>0</v>
      </c>
      <c r="W167" s="517">
        <f t="shared" si="60"/>
        <v>0</v>
      </c>
      <c r="X167" s="517">
        <f t="shared" si="60"/>
        <v>0</v>
      </c>
      <c r="Y167" s="517">
        <f t="shared" si="60"/>
        <v>0</v>
      </c>
      <c r="Z167" s="517">
        <f t="shared" si="60"/>
        <v>0</v>
      </c>
      <c r="AA167" s="517">
        <f t="shared" si="60"/>
        <v>0</v>
      </c>
      <c r="AB167" s="517">
        <f t="shared" si="60"/>
        <v>0</v>
      </c>
      <c r="AC167" s="517">
        <f t="shared" si="60"/>
        <v>0</v>
      </c>
      <c r="AD167" s="517">
        <f t="shared" si="60"/>
        <v>0</v>
      </c>
    </row>
    <row r="168" spans="1:30" s="519" customFormat="1" x14ac:dyDescent="0.25">
      <c r="A168" s="451" t="s">
        <v>61</v>
      </c>
      <c r="B168" s="156" t="s">
        <v>663</v>
      </c>
      <c r="C168" s="407">
        <v>610</v>
      </c>
      <c r="D168" s="517">
        <f>'Функц. 2025-2027'!F704</f>
        <v>1680.5</v>
      </c>
      <c r="E168" s="517">
        <f>'Функц. 2025-2027'!H704</f>
        <v>1706</v>
      </c>
      <c r="F168" s="517">
        <f>'Функц. 2025-2027'!J704</f>
        <v>1737</v>
      </c>
      <c r="G168" s="127"/>
      <c r="H168" s="127"/>
      <c r="I168" s="127"/>
      <c r="J168" s="127"/>
      <c r="K168" s="127"/>
      <c r="L168" s="127"/>
      <c r="M168" s="127"/>
      <c r="N168" s="127"/>
      <c r="O168" s="127"/>
      <c r="P168" s="127"/>
      <c r="Q168" s="127"/>
      <c r="R168" s="127"/>
      <c r="S168" s="127"/>
      <c r="T168" s="127"/>
      <c r="U168" s="127"/>
      <c r="V168" s="127"/>
      <c r="W168" s="127"/>
      <c r="X168" s="127"/>
      <c r="Y168" s="127"/>
      <c r="Z168" s="127"/>
      <c r="AA168" s="127"/>
      <c r="AB168" s="127"/>
      <c r="AC168" s="127"/>
      <c r="AD168" s="127"/>
    </row>
    <row r="169" spans="1:30" s="519" customFormat="1" ht="63" x14ac:dyDescent="0.25">
      <c r="A169" s="523" t="s">
        <v>659</v>
      </c>
      <c r="B169" s="156" t="s">
        <v>660</v>
      </c>
      <c r="C169" s="407"/>
      <c r="D169" s="517">
        <f>D170</f>
        <v>38123</v>
      </c>
      <c r="E169" s="517">
        <f t="shared" ref="E169:F170" si="61">E170</f>
        <v>38123</v>
      </c>
      <c r="F169" s="517">
        <f t="shared" si="61"/>
        <v>38123</v>
      </c>
      <c r="G169" s="520"/>
    </row>
    <row r="170" spans="1:30" s="519" customFormat="1" ht="31.5" x14ac:dyDescent="0.25">
      <c r="A170" s="523" t="s">
        <v>60</v>
      </c>
      <c r="B170" s="156" t="s">
        <v>660</v>
      </c>
      <c r="C170" s="407">
        <v>600</v>
      </c>
      <c r="D170" s="517">
        <f>D171</f>
        <v>38123</v>
      </c>
      <c r="E170" s="517">
        <f t="shared" si="61"/>
        <v>38123</v>
      </c>
      <c r="F170" s="517">
        <f t="shared" si="61"/>
        <v>38123</v>
      </c>
      <c r="G170" s="520"/>
    </row>
    <row r="171" spans="1:30" s="519" customFormat="1" x14ac:dyDescent="0.25">
      <c r="A171" s="523" t="s">
        <v>61</v>
      </c>
      <c r="B171" s="156" t="s">
        <v>660</v>
      </c>
      <c r="C171" s="407">
        <v>610</v>
      </c>
      <c r="D171" s="517">
        <f>'Функц. 2025-2027'!F707</f>
        <v>38123</v>
      </c>
      <c r="E171" s="517">
        <f>'Функц. 2025-2027'!H707</f>
        <v>38123</v>
      </c>
      <c r="F171" s="517">
        <f>'Функц. 2025-2027'!J707</f>
        <v>38123</v>
      </c>
      <c r="G171" s="520"/>
    </row>
    <row r="172" spans="1:30" ht="31.5" x14ac:dyDescent="0.25">
      <c r="A172" s="523" t="s">
        <v>474</v>
      </c>
      <c r="B172" s="156" t="s">
        <v>101</v>
      </c>
      <c r="C172" s="595"/>
      <c r="D172" s="27">
        <f>D173+D181</f>
        <v>72869.399999999994</v>
      </c>
      <c r="E172" s="27">
        <f>E173+E181</f>
        <v>71056.2</v>
      </c>
      <c r="F172" s="27">
        <f>F173+F181</f>
        <v>73442.3</v>
      </c>
      <c r="G172" s="152"/>
    </row>
    <row r="173" spans="1:30" ht="31.5" x14ac:dyDescent="0.25">
      <c r="A173" s="271" t="s">
        <v>475</v>
      </c>
      <c r="B173" s="156" t="s">
        <v>476</v>
      </c>
      <c r="C173" s="595"/>
      <c r="D173" s="27">
        <f>D174</f>
        <v>54353.899999999994</v>
      </c>
      <c r="E173" s="517">
        <f t="shared" ref="E173:F173" si="62">E174</f>
        <v>38974.5</v>
      </c>
      <c r="F173" s="517">
        <f t="shared" si="62"/>
        <v>39288.600000000006</v>
      </c>
      <c r="G173" s="152"/>
    </row>
    <row r="174" spans="1:30" ht="31.5" x14ac:dyDescent="0.25">
      <c r="A174" s="271" t="s">
        <v>268</v>
      </c>
      <c r="B174" s="156" t="s">
        <v>477</v>
      </c>
      <c r="C174" s="596"/>
      <c r="D174" s="490">
        <f>D175+D178</f>
        <v>54353.899999999994</v>
      </c>
      <c r="E174" s="517">
        <f t="shared" ref="E174:F174" si="63">E175+E178</f>
        <v>38974.5</v>
      </c>
      <c r="F174" s="517">
        <f t="shared" si="63"/>
        <v>39288.600000000006</v>
      </c>
      <c r="G174" s="152"/>
    </row>
    <row r="175" spans="1:30" s="177" customFormat="1" ht="31.5" x14ac:dyDescent="0.25">
      <c r="A175" s="273" t="s">
        <v>331</v>
      </c>
      <c r="B175" s="156" t="s">
        <v>478</v>
      </c>
      <c r="C175" s="597"/>
      <c r="D175" s="27">
        <f>D177</f>
        <v>54263.899999999994</v>
      </c>
      <c r="E175" s="27">
        <f>E177</f>
        <v>38974.5</v>
      </c>
      <c r="F175" s="27">
        <f>F177</f>
        <v>39288.600000000006</v>
      </c>
      <c r="G175" s="152"/>
    </row>
    <row r="176" spans="1:30" s="177" customFormat="1" ht="31.5" x14ac:dyDescent="0.25">
      <c r="A176" s="273" t="s">
        <v>60</v>
      </c>
      <c r="B176" s="156" t="s">
        <v>478</v>
      </c>
      <c r="C176" s="444">
        <v>600</v>
      </c>
      <c r="D176" s="27">
        <f>D177</f>
        <v>54263.899999999994</v>
      </c>
      <c r="E176" s="27">
        <f>E177</f>
        <v>38974.5</v>
      </c>
      <c r="F176" s="27">
        <f>F177</f>
        <v>39288.600000000006</v>
      </c>
      <c r="G176" s="152"/>
    </row>
    <row r="177" spans="1:30" s="177" customFormat="1" x14ac:dyDescent="0.25">
      <c r="A177" s="273" t="s">
        <v>61</v>
      </c>
      <c r="B177" s="156" t="s">
        <v>478</v>
      </c>
      <c r="C177" s="444">
        <v>610</v>
      </c>
      <c r="D177" s="27">
        <f>'ведом. 2025-2027'!AD783</f>
        <v>54263.899999999994</v>
      </c>
      <c r="E177" s="27">
        <f>'Функц. 2025-2027'!H747</f>
        <v>38974.5</v>
      </c>
      <c r="F177" s="27">
        <f>'Функц. 2025-2027'!J747</f>
        <v>39288.600000000006</v>
      </c>
      <c r="G177" s="152"/>
    </row>
    <row r="178" spans="1:30" s="519" customFormat="1" ht="31.5" x14ac:dyDescent="0.25">
      <c r="A178" s="451" t="s">
        <v>861</v>
      </c>
      <c r="B178" s="542" t="s">
        <v>862</v>
      </c>
      <c r="C178" s="577"/>
      <c r="D178" s="517">
        <f>D179</f>
        <v>90</v>
      </c>
      <c r="E178" s="517">
        <f t="shared" ref="E178:F178" si="64">E179</f>
        <v>0</v>
      </c>
      <c r="F178" s="517">
        <f t="shared" si="64"/>
        <v>0</v>
      </c>
      <c r="G178" s="520"/>
    </row>
    <row r="179" spans="1:30" s="519" customFormat="1" ht="31.5" x14ac:dyDescent="0.25">
      <c r="A179" s="451" t="s">
        <v>60</v>
      </c>
      <c r="B179" s="542" t="s">
        <v>862</v>
      </c>
      <c r="C179" s="454">
        <v>600</v>
      </c>
      <c r="D179" s="517">
        <f>D180</f>
        <v>90</v>
      </c>
      <c r="E179" s="517">
        <f t="shared" ref="E179:F179" si="65">E180</f>
        <v>0</v>
      </c>
      <c r="F179" s="517">
        <f t="shared" si="65"/>
        <v>0</v>
      </c>
      <c r="G179" s="520"/>
    </row>
    <row r="180" spans="1:30" s="519" customFormat="1" x14ac:dyDescent="0.25">
      <c r="A180" s="451" t="s">
        <v>61</v>
      </c>
      <c r="B180" s="542" t="s">
        <v>862</v>
      </c>
      <c r="C180" s="454">
        <v>610</v>
      </c>
      <c r="D180" s="517">
        <f>'Функц. 2025-2027'!F750</f>
        <v>90</v>
      </c>
      <c r="E180" s="517">
        <f>'Функц. 2025-2027'!H750</f>
        <v>0</v>
      </c>
      <c r="F180" s="517">
        <f>'Функц. 2025-2027'!J750</f>
        <v>0</v>
      </c>
      <c r="G180" s="520"/>
    </row>
    <row r="181" spans="1:30" s="165" customFormat="1" ht="31.5" x14ac:dyDescent="0.25">
      <c r="A181" s="271" t="s">
        <v>479</v>
      </c>
      <c r="B181" s="156" t="s">
        <v>480</v>
      </c>
      <c r="C181" s="444"/>
      <c r="D181" s="27">
        <f>D182</f>
        <v>18515.5</v>
      </c>
      <c r="E181" s="27">
        <f>E182</f>
        <v>32081.7</v>
      </c>
      <c r="F181" s="27">
        <f>F182</f>
        <v>34153.699999999997</v>
      </c>
      <c r="G181" s="152"/>
    </row>
    <row r="182" spans="1:30" s="165" customFormat="1" ht="31.5" x14ac:dyDescent="0.25">
      <c r="A182" s="274" t="s">
        <v>156</v>
      </c>
      <c r="B182" s="156" t="s">
        <v>481</v>
      </c>
      <c r="C182" s="444"/>
      <c r="D182" s="27">
        <f>D183</f>
        <v>18515.5</v>
      </c>
      <c r="E182" s="517">
        <f t="shared" ref="E182:F182" si="66">E183</f>
        <v>32081.7</v>
      </c>
      <c r="F182" s="517">
        <f t="shared" si="66"/>
        <v>34153.699999999997</v>
      </c>
      <c r="G182" s="152"/>
    </row>
    <row r="183" spans="1:30" s="165" customFormat="1" ht="31.5" x14ac:dyDescent="0.25">
      <c r="A183" s="273" t="s">
        <v>60</v>
      </c>
      <c r="B183" s="156" t="s">
        <v>481</v>
      </c>
      <c r="C183" s="444">
        <v>600</v>
      </c>
      <c r="D183" s="27">
        <f>D184+D185+D186</f>
        <v>18515.5</v>
      </c>
      <c r="E183" s="27">
        <f>E184+E185+E186</f>
        <v>32081.7</v>
      </c>
      <c r="F183" s="27">
        <f>F184+F185+F186</f>
        <v>34153.699999999997</v>
      </c>
      <c r="G183" s="152"/>
    </row>
    <row r="184" spans="1:30" s="165" customFormat="1" x14ac:dyDescent="0.25">
      <c r="A184" s="273" t="s">
        <v>61</v>
      </c>
      <c r="B184" s="156" t="s">
        <v>481</v>
      </c>
      <c r="C184" s="444">
        <v>610</v>
      </c>
      <c r="D184" s="27">
        <f>'Функц. 2025-2027'!F754</f>
        <v>15189.8</v>
      </c>
      <c r="E184" s="27">
        <f>'Функц. 2025-2027'!H754</f>
        <v>28747.1</v>
      </c>
      <c r="F184" s="27">
        <f>'Функц. 2025-2027'!J754</f>
        <v>30816.199999999997</v>
      </c>
      <c r="G184" s="152"/>
    </row>
    <row r="185" spans="1:30" s="199" customFormat="1" x14ac:dyDescent="0.25">
      <c r="A185" s="523" t="s">
        <v>130</v>
      </c>
      <c r="B185" s="156" t="s">
        <v>481</v>
      </c>
      <c r="C185" s="444">
        <v>620</v>
      </c>
      <c r="D185" s="27">
        <f>'Функц. 2025-2027'!F755</f>
        <v>2697</v>
      </c>
      <c r="E185" s="27">
        <f>'Функц. 2025-2027'!H755</f>
        <v>2705.8999999999996</v>
      </c>
      <c r="F185" s="27">
        <f>'Функц. 2025-2027'!J755</f>
        <v>2708.8</v>
      </c>
      <c r="G185" s="152"/>
      <c r="H185" s="438"/>
      <c r="I185" s="438"/>
      <c r="J185" s="438"/>
      <c r="K185" s="438"/>
      <c r="L185" s="438"/>
      <c r="M185" s="438"/>
      <c r="N185" s="438"/>
      <c r="O185" s="438"/>
      <c r="P185" s="438"/>
      <c r="Q185" s="438"/>
      <c r="R185" s="438"/>
      <c r="S185" s="438"/>
      <c r="T185" s="438"/>
      <c r="U185" s="438"/>
      <c r="V185" s="438"/>
      <c r="W185" s="438"/>
      <c r="X185" s="438"/>
      <c r="Y185" s="438"/>
      <c r="Z185" s="438"/>
      <c r="AA185" s="438"/>
      <c r="AB185" s="438"/>
      <c r="AC185" s="438"/>
      <c r="AD185" s="438"/>
    </row>
    <row r="186" spans="1:30" s="199" customFormat="1" ht="31.5" x14ac:dyDescent="0.25">
      <c r="A186" s="523" t="s">
        <v>363</v>
      </c>
      <c r="B186" s="156" t="s">
        <v>481</v>
      </c>
      <c r="C186" s="444">
        <v>630</v>
      </c>
      <c r="D186" s="27">
        <f>'Функц. 2025-2027'!F756</f>
        <v>628.70000000000005</v>
      </c>
      <c r="E186" s="27">
        <f>'Функц. 2025-2027'!H756</f>
        <v>628.70000000000005</v>
      </c>
      <c r="F186" s="27">
        <f>'Функц. 2025-2027'!J756</f>
        <v>628.70000000000005</v>
      </c>
      <c r="G186" s="152"/>
      <c r="H186" s="438"/>
      <c r="I186" s="438"/>
      <c r="J186" s="438"/>
      <c r="K186" s="438"/>
      <c r="L186" s="438"/>
      <c r="M186" s="438"/>
      <c r="N186" s="438"/>
      <c r="O186" s="438"/>
      <c r="P186" s="438"/>
      <c r="Q186" s="438"/>
      <c r="R186" s="438"/>
      <c r="S186" s="438"/>
      <c r="T186" s="438"/>
      <c r="U186" s="438"/>
      <c r="V186" s="438"/>
      <c r="W186" s="438"/>
      <c r="X186" s="438"/>
      <c r="Y186" s="438"/>
      <c r="Z186" s="438"/>
      <c r="AA186" s="438"/>
      <c r="AB186" s="438"/>
      <c r="AC186" s="438"/>
      <c r="AD186" s="438"/>
    </row>
    <row r="187" spans="1:30" x14ac:dyDescent="0.25">
      <c r="A187" s="255" t="s">
        <v>48</v>
      </c>
      <c r="B187" s="156" t="s">
        <v>482</v>
      </c>
      <c r="C187" s="444"/>
      <c r="D187" s="27">
        <f>D188</f>
        <v>26563.100000000002</v>
      </c>
      <c r="E187" s="27">
        <f>E188</f>
        <v>25755.100000000002</v>
      </c>
      <c r="F187" s="27">
        <f>F188</f>
        <v>25755.100000000002</v>
      </c>
      <c r="G187" s="152"/>
    </row>
    <row r="188" spans="1:30" ht="31.5" x14ac:dyDescent="0.25">
      <c r="A188" s="271" t="s">
        <v>269</v>
      </c>
      <c r="B188" s="156" t="s">
        <v>483</v>
      </c>
      <c r="C188" s="444"/>
      <c r="D188" s="27">
        <f>D189+D199</f>
        <v>26563.100000000002</v>
      </c>
      <c r="E188" s="27">
        <f>E189+E199</f>
        <v>25755.100000000002</v>
      </c>
      <c r="F188" s="27">
        <f>F189+F199</f>
        <v>25755.100000000002</v>
      </c>
      <c r="G188" s="152"/>
    </row>
    <row r="189" spans="1:30" x14ac:dyDescent="0.25">
      <c r="A189" s="274" t="s">
        <v>205</v>
      </c>
      <c r="B189" s="156" t="s">
        <v>484</v>
      </c>
      <c r="C189" s="444"/>
      <c r="D189" s="27">
        <f>D190+D193+D196</f>
        <v>26475.200000000001</v>
      </c>
      <c r="E189" s="27">
        <f>E190+E193+E196</f>
        <v>25567.200000000001</v>
      </c>
      <c r="F189" s="27">
        <f>F190+F193+F196</f>
        <v>25567.200000000001</v>
      </c>
      <c r="G189" s="152"/>
    </row>
    <row r="190" spans="1:30" ht="31.5" x14ac:dyDescent="0.25">
      <c r="A190" s="273" t="s">
        <v>206</v>
      </c>
      <c r="B190" s="156" t="s">
        <v>485</v>
      </c>
      <c r="C190" s="444"/>
      <c r="D190" s="27">
        <f>D191</f>
        <v>1495.2</v>
      </c>
      <c r="E190" s="517">
        <f t="shared" ref="E190:F190" si="67">E191</f>
        <v>1485.2</v>
      </c>
      <c r="F190" s="517">
        <f t="shared" si="67"/>
        <v>1485.2</v>
      </c>
      <c r="G190" s="152"/>
    </row>
    <row r="191" spans="1:30" x14ac:dyDescent="0.25">
      <c r="A191" s="273" t="s">
        <v>120</v>
      </c>
      <c r="B191" s="156" t="s">
        <v>485</v>
      </c>
      <c r="C191" s="444">
        <v>200</v>
      </c>
      <c r="D191" s="27">
        <f>D192</f>
        <v>1495.2</v>
      </c>
      <c r="E191" s="27">
        <f>E192</f>
        <v>1485.2</v>
      </c>
      <c r="F191" s="27">
        <f>F192</f>
        <v>1485.2</v>
      </c>
      <c r="G191" s="152"/>
    </row>
    <row r="192" spans="1:30" x14ac:dyDescent="0.25">
      <c r="A192" s="273" t="s">
        <v>52</v>
      </c>
      <c r="B192" s="156" t="s">
        <v>485</v>
      </c>
      <c r="C192" s="444">
        <v>240</v>
      </c>
      <c r="D192" s="27">
        <f>'Функц. 2025-2027'!F788</f>
        <v>1495.2</v>
      </c>
      <c r="E192" s="27">
        <f>'Функц. 2025-2027'!H788</f>
        <v>1485.2</v>
      </c>
      <c r="F192" s="27">
        <f>'Функц. 2025-2027'!J788</f>
        <v>1485.2</v>
      </c>
      <c r="G192" s="152"/>
    </row>
    <row r="193" spans="1:7" ht="31.5" x14ac:dyDescent="0.25">
      <c r="A193" s="273" t="s">
        <v>349</v>
      </c>
      <c r="B193" s="156" t="s">
        <v>486</v>
      </c>
      <c r="C193" s="444"/>
      <c r="D193" s="27">
        <f t="shared" ref="D193:F194" si="68">D194</f>
        <v>11514.6</v>
      </c>
      <c r="E193" s="27">
        <f t="shared" si="68"/>
        <v>10616.6</v>
      </c>
      <c r="F193" s="27">
        <f t="shared" si="68"/>
        <v>10616.6</v>
      </c>
      <c r="G193" s="152"/>
    </row>
    <row r="194" spans="1:7" ht="47.25" x14ac:dyDescent="0.25">
      <c r="A194" s="273" t="s">
        <v>41</v>
      </c>
      <c r="B194" s="156" t="s">
        <v>486</v>
      </c>
      <c r="C194" s="444">
        <v>100</v>
      </c>
      <c r="D194" s="27">
        <f t="shared" si="68"/>
        <v>11514.6</v>
      </c>
      <c r="E194" s="27">
        <f t="shared" si="68"/>
        <v>10616.6</v>
      </c>
      <c r="F194" s="27">
        <f t="shared" si="68"/>
        <v>10616.6</v>
      </c>
      <c r="G194" s="152"/>
    </row>
    <row r="195" spans="1:7" x14ac:dyDescent="0.25">
      <c r="A195" s="273" t="s">
        <v>96</v>
      </c>
      <c r="B195" s="156" t="s">
        <v>486</v>
      </c>
      <c r="C195" s="444">
        <v>120</v>
      </c>
      <c r="D195" s="27">
        <f>'Функц. 2025-2027'!F791</f>
        <v>11514.6</v>
      </c>
      <c r="E195" s="27">
        <f>'Функц. 2025-2027'!H791</f>
        <v>10616.6</v>
      </c>
      <c r="F195" s="27">
        <f>'Функц. 2025-2027'!J791</f>
        <v>10616.6</v>
      </c>
      <c r="G195" s="152"/>
    </row>
    <row r="196" spans="1:7" ht="31.5" x14ac:dyDescent="0.25">
      <c r="A196" s="273" t="s">
        <v>270</v>
      </c>
      <c r="B196" s="156" t="s">
        <v>487</v>
      </c>
      <c r="C196" s="444"/>
      <c r="D196" s="27">
        <f t="shared" ref="D196:F197" si="69">D197</f>
        <v>13465.4</v>
      </c>
      <c r="E196" s="27">
        <f t="shared" si="69"/>
        <v>13465.4</v>
      </c>
      <c r="F196" s="27">
        <f t="shared" si="69"/>
        <v>13465.4</v>
      </c>
      <c r="G196" s="152"/>
    </row>
    <row r="197" spans="1:7" ht="47.25" x14ac:dyDescent="0.25">
      <c r="A197" s="273" t="s">
        <v>41</v>
      </c>
      <c r="B197" s="156" t="s">
        <v>487</v>
      </c>
      <c r="C197" s="444">
        <v>100</v>
      </c>
      <c r="D197" s="27">
        <f t="shared" si="69"/>
        <v>13465.4</v>
      </c>
      <c r="E197" s="27">
        <f t="shared" si="69"/>
        <v>13465.4</v>
      </c>
      <c r="F197" s="27">
        <f t="shared" si="69"/>
        <v>13465.4</v>
      </c>
      <c r="G197" s="152"/>
    </row>
    <row r="198" spans="1:7" x14ac:dyDescent="0.25">
      <c r="A198" s="273" t="s">
        <v>96</v>
      </c>
      <c r="B198" s="156" t="s">
        <v>487</v>
      </c>
      <c r="C198" s="444">
        <v>120</v>
      </c>
      <c r="D198" s="27">
        <f>'Функц. 2025-2027'!F794</f>
        <v>13465.4</v>
      </c>
      <c r="E198" s="27">
        <f>'Функц. 2025-2027'!H794</f>
        <v>13465.4</v>
      </c>
      <c r="F198" s="27">
        <f>'Функц. 2025-2027'!J794</f>
        <v>13465.4</v>
      </c>
      <c r="G198" s="152"/>
    </row>
    <row r="199" spans="1:7" x14ac:dyDescent="0.25">
      <c r="A199" s="273" t="s">
        <v>271</v>
      </c>
      <c r="B199" s="156" t="s">
        <v>488</v>
      </c>
      <c r="C199" s="444"/>
      <c r="D199" s="27">
        <f>D200+D202</f>
        <v>87.9</v>
      </c>
      <c r="E199" s="517">
        <f t="shared" ref="E199:F199" si="70">E200+E202</f>
        <v>187.9</v>
      </c>
      <c r="F199" s="517">
        <f t="shared" si="70"/>
        <v>187.9</v>
      </c>
      <c r="G199" s="152"/>
    </row>
    <row r="200" spans="1:7" x14ac:dyDescent="0.25">
      <c r="A200" s="273" t="s">
        <v>120</v>
      </c>
      <c r="B200" s="156" t="s">
        <v>488</v>
      </c>
      <c r="C200" s="444">
        <v>200</v>
      </c>
      <c r="D200" s="27">
        <f t="shared" ref="D200:F200" si="71">D201</f>
        <v>0</v>
      </c>
      <c r="E200" s="27">
        <f t="shared" si="71"/>
        <v>187.9</v>
      </c>
      <c r="F200" s="27">
        <f t="shared" si="71"/>
        <v>187.9</v>
      </c>
      <c r="G200" s="152"/>
    </row>
    <row r="201" spans="1:7" x14ac:dyDescent="0.25">
      <c r="A201" s="273" t="s">
        <v>52</v>
      </c>
      <c r="B201" s="156" t="s">
        <v>488</v>
      </c>
      <c r="C201" s="444">
        <v>240</v>
      </c>
      <c r="D201" s="27">
        <f>'Функц. 2025-2027'!F797</f>
        <v>0</v>
      </c>
      <c r="E201" s="27">
        <f>'Функц. 2025-2027'!H797</f>
        <v>187.9</v>
      </c>
      <c r="F201" s="27">
        <f>'Функц. 2025-2027'!J797</f>
        <v>187.9</v>
      </c>
      <c r="G201" s="152"/>
    </row>
    <row r="202" spans="1:7" s="519" customFormat="1" x14ac:dyDescent="0.25">
      <c r="A202" s="451" t="s">
        <v>97</v>
      </c>
      <c r="B202" s="156" t="s">
        <v>488</v>
      </c>
      <c r="C202" s="444">
        <v>300</v>
      </c>
      <c r="D202" s="517">
        <f>D203</f>
        <v>87.9</v>
      </c>
      <c r="E202" s="517">
        <f t="shared" ref="E202:F202" si="72">E203</f>
        <v>0</v>
      </c>
      <c r="F202" s="517">
        <f t="shared" si="72"/>
        <v>0</v>
      </c>
      <c r="G202" s="520"/>
    </row>
    <row r="203" spans="1:7" s="519" customFormat="1" x14ac:dyDescent="0.25">
      <c r="A203" s="451" t="s">
        <v>890</v>
      </c>
      <c r="B203" s="156" t="s">
        <v>488</v>
      </c>
      <c r="C203" s="444">
        <v>340</v>
      </c>
      <c r="D203" s="517">
        <f>'Функц. 2025-2027'!F799</f>
        <v>87.9</v>
      </c>
      <c r="E203" s="517">
        <f>'Функц. 2025-2027'!H799</f>
        <v>0</v>
      </c>
      <c r="F203" s="517">
        <f>'Функц. 2025-2027'!J799</f>
        <v>0</v>
      </c>
      <c r="G203" s="520"/>
    </row>
    <row r="204" spans="1:7" s="134" customFormat="1" x14ac:dyDescent="0.25">
      <c r="A204" s="395" t="s">
        <v>292</v>
      </c>
      <c r="B204" s="616" t="s">
        <v>109</v>
      </c>
      <c r="C204" s="598"/>
      <c r="D204" s="30">
        <f>D205+D210+D228+D243+D235</f>
        <v>21948.6</v>
      </c>
      <c r="E204" s="518">
        <f t="shared" ref="E204:F204" si="73">E205+E210+E228+E243+E235</f>
        <v>21607</v>
      </c>
      <c r="F204" s="518">
        <f t="shared" si="73"/>
        <v>21694</v>
      </c>
      <c r="G204" s="152"/>
    </row>
    <row r="205" spans="1:7" s="134" customFormat="1" x14ac:dyDescent="0.25">
      <c r="A205" s="275" t="s">
        <v>293</v>
      </c>
      <c r="B205" s="578" t="s">
        <v>118</v>
      </c>
      <c r="C205" s="599"/>
      <c r="D205" s="27">
        <f>D206</f>
        <v>9007</v>
      </c>
      <c r="E205" s="27">
        <f>E206</f>
        <v>9007</v>
      </c>
      <c r="F205" s="27">
        <f>F206</f>
        <v>9007</v>
      </c>
      <c r="G205" s="152"/>
    </row>
    <row r="206" spans="1:7" s="134" customFormat="1" ht="31.5" x14ac:dyDescent="0.25">
      <c r="A206" s="275" t="s">
        <v>465</v>
      </c>
      <c r="B206" s="156" t="s">
        <v>464</v>
      </c>
      <c r="C206" s="600"/>
      <c r="D206" s="27">
        <f t="shared" ref="D206:F207" si="74">D207</f>
        <v>9007</v>
      </c>
      <c r="E206" s="27">
        <f t="shared" si="74"/>
        <v>9007</v>
      </c>
      <c r="F206" s="27">
        <f t="shared" si="74"/>
        <v>9007</v>
      </c>
      <c r="G206" s="152"/>
    </row>
    <row r="207" spans="1:7" s="134" customFormat="1" ht="31.5" x14ac:dyDescent="0.25">
      <c r="A207" s="277" t="s">
        <v>295</v>
      </c>
      <c r="B207" s="156" t="s">
        <v>463</v>
      </c>
      <c r="C207" s="600"/>
      <c r="D207" s="27">
        <f t="shared" si="74"/>
        <v>9007</v>
      </c>
      <c r="E207" s="27">
        <f t="shared" si="74"/>
        <v>9007</v>
      </c>
      <c r="F207" s="27">
        <f t="shared" si="74"/>
        <v>9007</v>
      </c>
      <c r="G207" s="152"/>
    </row>
    <row r="208" spans="1:7" s="134" customFormat="1" x14ac:dyDescent="0.25">
      <c r="A208" s="273" t="s">
        <v>97</v>
      </c>
      <c r="B208" s="156" t="s">
        <v>463</v>
      </c>
      <c r="C208" s="444">
        <v>300</v>
      </c>
      <c r="D208" s="27">
        <f>D209</f>
        <v>9007</v>
      </c>
      <c r="E208" s="27">
        <f>E209</f>
        <v>9007</v>
      </c>
      <c r="F208" s="27">
        <f>F209</f>
        <v>9007</v>
      </c>
      <c r="G208" s="152"/>
    </row>
    <row r="209" spans="1:7" s="134" customFormat="1" x14ac:dyDescent="0.25">
      <c r="A209" s="273" t="s">
        <v>40</v>
      </c>
      <c r="B209" s="156" t="s">
        <v>463</v>
      </c>
      <c r="C209" s="444">
        <v>320</v>
      </c>
      <c r="D209" s="27">
        <f>'Функц. 2025-2027'!F904</f>
        <v>9007</v>
      </c>
      <c r="E209" s="27">
        <f>'Функц. 2025-2027'!H904</f>
        <v>9007</v>
      </c>
      <c r="F209" s="27">
        <f>'Функц. 2025-2027'!J904</f>
        <v>9007</v>
      </c>
      <c r="G209" s="152"/>
    </row>
    <row r="210" spans="1:7" x14ac:dyDescent="0.25">
      <c r="A210" s="275" t="s">
        <v>296</v>
      </c>
      <c r="B210" s="156" t="s">
        <v>110</v>
      </c>
      <c r="C210" s="444"/>
      <c r="D210" s="27">
        <f t="shared" ref="D210:F210" si="75">D211</f>
        <v>7553.6</v>
      </c>
      <c r="E210" s="27">
        <f t="shared" si="75"/>
        <v>7254</v>
      </c>
      <c r="F210" s="27">
        <f t="shared" si="75"/>
        <v>7311</v>
      </c>
      <c r="G210" s="152"/>
    </row>
    <row r="211" spans="1:7" x14ac:dyDescent="0.25">
      <c r="A211" s="276" t="s">
        <v>503</v>
      </c>
      <c r="B211" s="156" t="s">
        <v>502</v>
      </c>
      <c r="C211" s="444"/>
      <c r="D211" s="27">
        <f>D217+D212</f>
        <v>7553.6</v>
      </c>
      <c r="E211" s="27">
        <f>E217</f>
        <v>7254</v>
      </c>
      <c r="F211" s="27">
        <f>F217</f>
        <v>7311</v>
      </c>
      <c r="G211" s="152"/>
    </row>
    <row r="212" spans="1:7" s="519" customFormat="1" ht="47.25" x14ac:dyDescent="0.25">
      <c r="A212" s="661" t="s">
        <v>847</v>
      </c>
      <c r="B212" s="542" t="s">
        <v>848</v>
      </c>
      <c r="C212" s="454"/>
      <c r="D212" s="517">
        <f>D215+D213</f>
        <v>587.6</v>
      </c>
      <c r="E212" s="517">
        <f>E215</f>
        <v>0</v>
      </c>
      <c r="F212" s="517">
        <f>F215</f>
        <v>0</v>
      </c>
      <c r="G212" s="520"/>
    </row>
    <row r="213" spans="1:7" s="519" customFormat="1" ht="31.5" x14ac:dyDescent="0.25">
      <c r="A213" s="451" t="s">
        <v>60</v>
      </c>
      <c r="B213" s="542" t="s">
        <v>848</v>
      </c>
      <c r="C213" s="454">
        <v>300</v>
      </c>
      <c r="D213" s="517">
        <f>D214</f>
        <v>260</v>
      </c>
      <c r="E213" s="517">
        <f t="shared" ref="E213:F213" si="76">E214</f>
        <v>0</v>
      </c>
      <c r="F213" s="517">
        <f t="shared" si="76"/>
        <v>0</v>
      </c>
      <c r="G213" s="520"/>
    </row>
    <row r="214" spans="1:7" s="519" customFormat="1" x14ac:dyDescent="0.25">
      <c r="A214" s="451" t="s">
        <v>61</v>
      </c>
      <c r="B214" s="542" t="s">
        <v>848</v>
      </c>
      <c r="C214" s="454">
        <v>320</v>
      </c>
      <c r="D214" s="517">
        <f>'Функц. 2025-2027'!F805</f>
        <v>260</v>
      </c>
      <c r="E214" s="517">
        <f>'Функц. 2025-2027'!H805</f>
        <v>0</v>
      </c>
      <c r="F214" s="517">
        <f>'Функц. 2025-2027'!J805</f>
        <v>0</v>
      </c>
      <c r="G214" s="520"/>
    </row>
    <row r="215" spans="1:7" s="519" customFormat="1" ht="31.5" x14ac:dyDescent="0.25">
      <c r="A215" s="451" t="s">
        <v>60</v>
      </c>
      <c r="B215" s="542" t="s">
        <v>848</v>
      </c>
      <c r="C215" s="454">
        <v>600</v>
      </c>
      <c r="D215" s="517">
        <f>D216</f>
        <v>327.60000000000002</v>
      </c>
      <c r="E215" s="517">
        <f t="shared" ref="E215:F215" si="77">E216</f>
        <v>0</v>
      </c>
      <c r="F215" s="517">
        <f t="shared" si="77"/>
        <v>0</v>
      </c>
      <c r="G215" s="520"/>
    </row>
    <row r="216" spans="1:7" s="519" customFormat="1" x14ac:dyDescent="0.25">
      <c r="A216" s="451" t="s">
        <v>61</v>
      </c>
      <c r="B216" s="542" t="s">
        <v>848</v>
      </c>
      <c r="C216" s="454">
        <v>610</v>
      </c>
      <c r="D216" s="517">
        <f>'Функц. 2025-2027'!F807</f>
        <v>327.60000000000002</v>
      </c>
      <c r="E216" s="517">
        <f>'Функц. 2025-2027'!H807</f>
        <v>0</v>
      </c>
      <c r="F216" s="517">
        <f>'Функц. 2025-2027'!J807</f>
        <v>0</v>
      </c>
      <c r="G216" s="520"/>
    </row>
    <row r="217" spans="1:7" x14ac:dyDescent="0.25">
      <c r="A217" s="276" t="s">
        <v>297</v>
      </c>
      <c r="B217" s="156" t="s">
        <v>504</v>
      </c>
      <c r="C217" s="444"/>
      <c r="D217" s="27">
        <f>D218+D225</f>
        <v>6966</v>
      </c>
      <c r="E217" s="27">
        <f>E218+E225</f>
        <v>7254</v>
      </c>
      <c r="F217" s="27">
        <f>F218+F225</f>
        <v>7311</v>
      </c>
      <c r="G217" s="152"/>
    </row>
    <row r="218" spans="1:7" ht="47.25" x14ac:dyDescent="0.25">
      <c r="A218" s="276" t="s">
        <v>317</v>
      </c>
      <c r="B218" s="156" t="s">
        <v>505</v>
      </c>
      <c r="C218" s="444"/>
      <c r="D218" s="27">
        <f>D219+D223+D221</f>
        <v>5343.5999999999995</v>
      </c>
      <c r="E218" s="517">
        <f t="shared" ref="E218:F218" si="78">E219+E223+E221</f>
        <v>5184</v>
      </c>
      <c r="F218" s="517">
        <f t="shared" si="78"/>
        <v>5231</v>
      </c>
      <c r="G218" s="152"/>
    </row>
    <row r="219" spans="1:7" s="177" customFormat="1" x14ac:dyDescent="0.25">
      <c r="A219" s="273" t="s">
        <v>120</v>
      </c>
      <c r="B219" s="156" t="s">
        <v>505</v>
      </c>
      <c r="C219" s="444">
        <v>200</v>
      </c>
      <c r="D219" s="27">
        <f>D220</f>
        <v>2500</v>
      </c>
      <c r="E219" s="27">
        <f>E220</f>
        <v>2820</v>
      </c>
      <c r="F219" s="27">
        <f>F220</f>
        <v>2840</v>
      </c>
      <c r="G219" s="152"/>
    </row>
    <row r="220" spans="1:7" s="177" customFormat="1" x14ac:dyDescent="0.25">
      <c r="A220" s="273" t="s">
        <v>52</v>
      </c>
      <c r="B220" s="156" t="s">
        <v>505</v>
      </c>
      <c r="C220" s="444">
        <v>240</v>
      </c>
      <c r="D220" s="27">
        <f>'Функц. 2025-2027'!F811</f>
        <v>2500</v>
      </c>
      <c r="E220" s="27">
        <f>'Функц. 2025-2027'!H811</f>
        <v>2820</v>
      </c>
      <c r="F220" s="27">
        <f>'Функц. 2025-2027'!J811</f>
        <v>2840</v>
      </c>
      <c r="G220" s="152"/>
    </row>
    <row r="221" spans="1:7" s="519" customFormat="1" x14ac:dyDescent="0.25">
      <c r="A221" s="451" t="s">
        <v>97</v>
      </c>
      <c r="B221" s="542" t="s">
        <v>505</v>
      </c>
      <c r="C221" s="454">
        <v>300</v>
      </c>
      <c r="D221" s="517">
        <f>D222</f>
        <v>0</v>
      </c>
      <c r="E221" s="517">
        <f t="shared" ref="E221:F221" si="79">E222</f>
        <v>220</v>
      </c>
      <c r="F221" s="517">
        <f t="shared" si="79"/>
        <v>220</v>
      </c>
      <c r="G221" s="520"/>
    </row>
    <row r="222" spans="1:7" s="519" customFormat="1" x14ac:dyDescent="0.25">
      <c r="A222" s="451" t="s">
        <v>40</v>
      </c>
      <c r="B222" s="542" t="s">
        <v>505</v>
      </c>
      <c r="C222" s="454">
        <v>320</v>
      </c>
      <c r="D222" s="517">
        <f>'Функц. 2025-2027'!F813</f>
        <v>0</v>
      </c>
      <c r="E222" s="517">
        <f>'Функц. 2025-2027'!H813</f>
        <v>220</v>
      </c>
      <c r="F222" s="517">
        <f>'Функц. 2025-2027'!J813</f>
        <v>220</v>
      </c>
      <c r="G222" s="520"/>
    </row>
    <row r="223" spans="1:7" s="177" customFormat="1" ht="31.5" x14ac:dyDescent="0.25">
      <c r="A223" s="273" t="s">
        <v>60</v>
      </c>
      <c r="B223" s="156" t="s">
        <v>505</v>
      </c>
      <c r="C223" s="444">
        <v>600</v>
      </c>
      <c r="D223" s="27">
        <f>D224</f>
        <v>2843.5999999999995</v>
      </c>
      <c r="E223" s="27">
        <f>E224</f>
        <v>2144</v>
      </c>
      <c r="F223" s="27">
        <f>F224</f>
        <v>2171</v>
      </c>
      <c r="G223" s="152"/>
    </row>
    <row r="224" spans="1:7" s="177" customFormat="1" x14ac:dyDescent="0.25">
      <c r="A224" s="273" t="s">
        <v>61</v>
      </c>
      <c r="B224" s="156" t="s">
        <v>505</v>
      </c>
      <c r="C224" s="444">
        <v>610</v>
      </c>
      <c r="D224" s="27">
        <f>'Функц. 2025-2027'!F815</f>
        <v>2843.5999999999995</v>
      </c>
      <c r="E224" s="27">
        <f>'Функц. 2025-2027'!H815</f>
        <v>2144</v>
      </c>
      <c r="F224" s="27">
        <f>'Функц. 2025-2027'!J815</f>
        <v>2171</v>
      </c>
      <c r="G224" s="152"/>
    </row>
    <row r="225" spans="1:7" ht="31.5" x14ac:dyDescent="0.25">
      <c r="A225" s="273" t="s">
        <v>516</v>
      </c>
      <c r="B225" s="156" t="s">
        <v>506</v>
      </c>
      <c r="C225" s="444"/>
      <c r="D225" s="27">
        <f t="shared" ref="D225:F226" si="80">D226</f>
        <v>1622.4</v>
      </c>
      <c r="E225" s="27">
        <f t="shared" si="80"/>
        <v>2070</v>
      </c>
      <c r="F225" s="27">
        <f t="shared" si="80"/>
        <v>2080</v>
      </c>
      <c r="G225" s="152"/>
    </row>
    <row r="226" spans="1:7" ht="31.5" x14ac:dyDescent="0.25">
      <c r="A226" s="273" t="s">
        <v>60</v>
      </c>
      <c r="B226" s="156" t="s">
        <v>506</v>
      </c>
      <c r="C226" s="407">
        <v>600</v>
      </c>
      <c r="D226" s="27">
        <f t="shared" si="80"/>
        <v>1622.4</v>
      </c>
      <c r="E226" s="27">
        <f t="shared" si="80"/>
        <v>2070</v>
      </c>
      <c r="F226" s="27">
        <f t="shared" si="80"/>
        <v>2080</v>
      </c>
      <c r="G226" s="152"/>
    </row>
    <row r="227" spans="1:7" x14ac:dyDescent="0.25">
      <c r="A227" s="273" t="s">
        <v>61</v>
      </c>
      <c r="B227" s="156" t="s">
        <v>506</v>
      </c>
      <c r="C227" s="407">
        <v>610</v>
      </c>
      <c r="D227" s="27">
        <f>'Функц. 2025-2027'!F818</f>
        <v>1622.4</v>
      </c>
      <c r="E227" s="27">
        <f>'Функц. 2025-2027'!H818</f>
        <v>2070</v>
      </c>
      <c r="F227" s="27">
        <f>'Функц. 2025-2027'!J818</f>
        <v>2080</v>
      </c>
      <c r="G227" s="152"/>
    </row>
    <row r="228" spans="1:7" s="134" customFormat="1" x14ac:dyDescent="0.25">
      <c r="A228" s="255" t="s">
        <v>48</v>
      </c>
      <c r="B228" s="26" t="s">
        <v>400</v>
      </c>
      <c r="C228" s="444"/>
      <c r="D228" s="27">
        <f t="shared" ref="D228:F229" si="81">D229</f>
        <v>5178</v>
      </c>
      <c r="E228" s="27">
        <f t="shared" si="81"/>
        <v>5206</v>
      </c>
      <c r="F228" s="27">
        <f t="shared" si="81"/>
        <v>5236</v>
      </c>
      <c r="G228" s="152"/>
    </row>
    <row r="229" spans="1:7" s="134" customFormat="1" ht="47.25" x14ac:dyDescent="0.25">
      <c r="A229" s="255" t="s">
        <v>518</v>
      </c>
      <c r="B229" s="26" t="s">
        <v>517</v>
      </c>
      <c r="C229" s="444"/>
      <c r="D229" s="27">
        <f t="shared" si="81"/>
        <v>5178</v>
      </c>
      <c r="E229" s="27">
        <f t="shared" si="81"/>
        <v>5206</v>
      </c>
      <c r="F229" s="27">
        <f t="shared" si="81"/>
        <v>5236</v>
      </c>
      <c r="G229" s="152"/>
    </row>
    <row r="230" spans="1:7" s="134" customFormat="1" ht="47.25" x14ac:dyDescent="0.25">
      <c r="A230" s="375" t="s">
        <v>357</v>
      </c>
      <c r="B230" s="26" t="s">
        <v>519</v>
      </c>
      <c r="C230" s="444"/>
      <c r="D230" s="27">
        <f>D231+D233</f>
        <v>5178</v>
      </c>
      <c r="E230" s="27">
        <f>E231+E233</f>
        <v>5206</v>
      </c>
      <c r="F230" s="27">
        <f>F231+F233</f>
        <v>5236</v>
      </c>
      <c r="G230" s="152"/>
    </row>
    <row r="231" spans="1:7" s="134" customFormat="1" ht="47.25" x14ac:dyDescent="0.25">
      <c r="A231" s="375" t="s">
        <v>41</v>
      </c>
      <c r="B231" s="26" t="s">
        <v>519</v>
      </c>
      <c r="C231" s="407">
        <v>100</v>
      </c>
      <c r="D231" s="27">
        <f>D232</f>
        <v>4651.3999999999996</v>
      </c>
      <c r="E231" s="27">
        <f>'Функц. 2025-2027'!H53</f>
        <v>4659.6000000000004</v>
      </c>
      <c r="F231" s="27">
        <f>'Функц. 2025-2027'!J53</f>
        <v>4669.1000000000004</v>
      </c>
      <c r="G231" s="152"/>
    </row>
    <row r="232" spans="1:7" s="134" customFormat="1" x14ac:dyDescent="0.25">
      <c r="A232" s="375" t="s">
        <v>96</v>
      </c>
      <c r="B232" s="26" t="s">
        <v>519</v>
      </c>
      <c r="C232" s="444">
        <v>120</v>
      </c>
      <c r="D232" s="27">
        <f>'Функц. 2025-2027'!F53</f>
        <v>4651.3999999999996</v>
      </c>
      <c r="E232" s="27">
        <f>'Функц. 2025-2027'!H53</f>
        <v>4659.6000000000004</v>
      </c>
      <c r="F232" s="27">
        <f>'Функц. 2025-2027'!J53</f>
        <v>4669.1000000000004</v>
      </c>
      <c r="G232" s="152"/>
    </row>
    <row r="233" spans="1:7" s="134" customFormat="1" x14ac:dyDescent="0.25">
      <c r="A233" s="375" t="s">
        <v>120</v>
      </c>
      <c r="B233" s="26" t="s">
        <v>519</v>
      </c>
      <c r="C233" s="444">
        <v>200</v>
      </c>
      <c r="D233" s="27">
        <f>D234</f>
        <v>526.6</v>
      </c>
      <c r="E233" s="27">
        <f>E234</f>
        <v>546.4</v>
      </c>
      <c r="F233" s="27">
        <f>F234</f>
        <v>566.9</v>
      </c>
      <c r="G233" s="152"/>
    </row>
    <row r="234" spans="1:7" s="134" customFormat="1" x14ac:dyDescent="0.25">
      <c r="A234" s="375" t="s">
        <v>52</v>
      </c>
      <c r="B234" s="26" t="s">
        <v>519</v>
      </c>
      <c r="C234" s="444">
        <v>240</v>
      </c>
      <c r="D234" s="27">
        <f>'Функц. 2025-2027'!F55</f>
        <v>526.6</v>
      </c>
      <c r="E234" s="27">
        <f>'Функц. 2025-2027'!H55</f>
        <v>546.4</v>
      </c>
      <c r="F234" s="27">
        <f>'Функц. 2025-2027'!J55</f>
        <v>566.9</v>
      </c>
      <c r="G234" s="152"/>
    </row>
    <row r="235" spans="1:7" s="513" customFormat="1" ht="31.5" x14ac:dyDescent="0.25">
      <c r="A235" s="259" t="s">
        <v>343</v>
      </c>
      <c r="B235" s="156" t="s">
        <v>520</v>
      </c>
      <c r="C235" s="444"/>
      <c r="D235" s="517">
        <f>D236</f>
        <v>140</v>
      </c>
      <c r="E235" s="517">
        <f t="shared" ref="E235:F237" si="82">E236</f>
        <v>140</v>
      </c>
      <c r="F235" s="517">
        <f t="shared" si="82"/>
        <v>140</v>
      </c>
      <c r="G235" s="520"/>
    </row>
    <row r="236" spans="1:7" s="513" customFormat="1" x14ac:dyDescent="0.25">
      <c r="A236" s="276" t="s">
        <v>522</v>
      </c>
      <c r="B236" s="156" t="s">
        <v>521</v>
      </c>
      <c r="C236" s="444"/>
      <c r="D236" s="517">
        <f>D237+D240</f>
        <v>140</v>
      </c>
      <c r="E236" s="517">
        <f t="shared" ref="E236:F236" si="83">E237+E240</f>
        <v>140</v>
      </c>
      <c r="F236" s="517">
        <f t="shared" si="83"/>
        <v>140</v>
      </c>
      <c r="G236" s="520"/>
    </row>
    <row r="237" spans="1:7" s="513" customFormat="1" x14ac:dyDescent="0.25">
      <c r="A237" s="416" t="s">
        <v>593</v>
      </c>
      <c r="B237" s="409" t="s">
        <v>594</v>
      </c>
      <c r="C237" s="417"/>
      <c r="D237" s="517">
        <f>D238</f>
        <v>70</v>
      </c>
      <c r="E237" s="517">
        <f t="shared" si="82"/>
        <v>70</v>
      </c>
      <c r="F237" s="517">
        <f t="shared" si="82"/>
        <v>70</v>
      </c>
      <c r="G237" s="520"/>
    </row>
    <row r="238" spans="1:7" s="513" customFormat="1" ht="31.5" x14ac:dyDescent="0.25">
      <c r="A238" s="418" t="s">
        <v>60</v>
      </c>
      <c r="B238" s="409" t="s">
        <v>594</v>
      </c>
      <c r="C238" s="417">
        <v>600</v>
      </c>
      <c r="D238" s="517">
        <f>D239</f>
        <v>70</v>
      </c>
      <c r="E238" s="517">
        <f t="shared" ref="E238:F238" si="84">E239</f>
        <v>70</v>
      </c>
      <c r="F238" s="517">
        <f t="shared" si="84"/>
        <v>70</v>
      </c>
      <c r="G238" s="520"/>
    </row>
    <row r="239" spans="1:7" s="513" customFormat="1" ht="31.5" x14ac:dyDescent="0.25">
      <c r="A239" s="419" t="s">
        <v>407</v>
      </c>
      <c r="B239" s="409" t="s">
        <v>594</v>
      </c>
      <c r="C239" s="417">
        <v>630</v>
      </c>
      <c r="D239" s="517">
        <f>'Функц. 2025-2027'!F949</f>
        <v>70</v>
      </c>
      <c r="E239" s="517">
        <f>'Функц. 2025-2027'!H949</f>
        <v>70</v>
      </c>
      <c r="F239" s="517">
        <f>'Функц. 2025-2027'!J949</f>
        <v>70</v>
      </c>
      <c r="G239" s="520"/>
    </row>
    <row r="240" spans="1:7" ht="31.5" x14ac:dyDescent="0.25">
      <c r="A240" s="256" t="s">
        <v>574</v>
      </c>
      <c r="B240" s="156" t="s">
        <v>575</v>
      </c>
      <c r="C240" s="594"/>
      <c r="D240" s="27">
        <f t="shared" ref="D240:F241" si="85">D241</f>
        <v>70</v>
      </c>
      <c r="E240" s="27">
        <f t="shared" si="85"/>
        <v>70</v>
      </c>
      <c r="F240" s="27">
        <f t="shared" si="85"/>
        <v>70</v>
      </c>
      <c r="G240" s="152"/>
    </row>
    <row r="241" spans="1:30" ht="31.5" x14ac:dyDescent="0.25">
      <c r="A241" s="375" t="s">
        <v>60</v>
      </c>
      <c r="B241" s="156" t="s">
        <v>575</v>
      </c>
      <c r="C241" s="594">
        <v>600</v>
      </c>
      <c r="D241" s="27">
        <f t="shared" si="85"/>
        <v>70</v>
      </c>
      <c r="E241" s="27">
        <f t="shared" si="85"/>
        <v>70</v>
      </c>
      <c r="F241" s="27">
        <f t="shared" si="85"/>
        <v>70</v>
      </c>
      <c r="G241" s="152"/>
    </row>
    <row r="242" spans="1:30" ht="31.5" x14ac:dyDescent="0.25">
      <c r="A242" s="406" t="s">
        <v>407</v>
      </c>
      <c r="B242" s="156" t="s">
        <v>575</v>
      </c>
      <c r="C242" s="594">
        <v>630</v>
      </c>
      <c r="D242" s="27">
        <f>'Функц. 2025-2027'!F952</f>
        <v>70</v>
      </c>
      <c r="E242" s="27">
        <f>'Функц. 2025-2027'!H952</f>
        <v>70</v>
      </c>
      <c r="F242" s="27">
        <f>'Функц. 2025-2027'!J952</f>
        <v>70</v>
      </c>
      <c r="G242" s="152"/>
    </row>
    <row r="243" spans="1:30" s="177" customFormat="1" ht="31.5" x14ac:dyDescent="0.25">
      <c r="A243" s="523" t="s">
        <v>566</v>
      </c>
      <c r="B243" s="309" t="s">
        <v>569</v>
      </c>
      <c r="C243" s="444"/>
      <c r="D243" s="27">
        <f>D244</f>
        <v>70</v>
      </c>
      <c r="E243" s="27">
        <f t="shared" ref="E243:F246" si="86">E244</f>
        <v>0</v>
      </c>
      <c r="F243" s="27">
        <f t="shared" si="86"/>
        <v>0</v>
      </c>
      <c r="G243" s="152"/>
    </row>
    <row r="244" spans="1:30" s="177" customFormat="1" ht="31.5" x14ac:dyDescent="0.25">
      <c r="A244" s="376" t="s">
        <v>567</v>
      </c>
      <c r="B244" s="309" t="s">
        <v>570</v>
      </c>
      <c r="C244" s="444"/>
      <c r="D244" s="27">
        <f>D245</f>
        <v>70</v>
      </c>
      <c r="E244" s="27">
        <f t="shared" si="86"/>
        <v>0</v>
      </c>
      <c r="F244" s="27">
        <f t="shared" si="86"/>
        <v>0</v>
      </c>
      <c r="G244" s="152"/>
    </row>
    <row r="245" spans="1:30" s="177" customFormat="1" ht="31.5" x14ac:dyDescent="0.25">
      <c r="A245" s="376" t="s">
        <v>568</v>
      </c>
      <c r="B245" s="309" t="s">
        <v>571</v>
      </c>
      <c r="C245" s="444"/>
      <c r="D245" s="27">
        <f>D246</f>
        <v>70</v>
      </c>
      <c r="E245" s="27">
        <f t="shared" si="86"/>
        <v>0</v>
      </c>
      <c r="F245" s="27">
        <f t="shared" si="86"/>
        <v>0</v>
      </c>
      <c r="G245" s="152"/>
    </row>
    <row r="246" spans="1:30" s="177" customFormat="1" x14ac:dyDescent="0.25">
      <c r="A246" s="523" t="s">
        <v>120</v>
      </c>
      <c r="B246" s="309" t="s">
        <v>571</v>
      </c>
      <c r="C246" s="444">
        <v>200</v>
      </c>
      <c r="D246" s="27">
        <f>D247</f>
        <v>70</v>
      </c>
      <c r="E246" s="27">
        <f t="shared" si="86"/>
        <v>0</v>
      </c>
      <c r="F246" s="27">
        <f t="shared" si="86"/>
        <v>0</v>
      </c>
      <c r="G246" s="152"/>
    </row>
    <row r="247" spans="1:30" s="177" customFormat="1" x14ac:dyDescent="0.25">
      <c r="A247" s="523" t="s">
        <v>52</v>
      </c>
      <c r="B247" s="309" t="s">
        <v>571</v>
      </c>
      <c r="C247" s="444">
        <v>240</v>
      </c>
      <c r="D247" s="27">
        <f>'Функц. 2025-2027'!F60</f>
        <v>70</v>
      </c>
      <c r="E247" s="27">
        <f>'Функц. 2025-2027'!H60</f>
        <v>0</v>
      </c>
      <c r="F247" s="27">
        <f>'Функц. 2025-2027'!J60</f>
        <v>0</v>
      </c>
      <c r="G247" s="152"/>
    </row>
    <row r="248" spans="1:30" s="134" customFormat="1" x14ac:dyDescent="0.25">
      <c r="A248" s="396" t="s">
        <v>157</v>
      </c>
      <c r="B248" s="614" t="s">
        <v>115</v>
      </c>
      <c r="C248" s="593"/>
      <c r="D248" s="30">
        <f>D249+D261</f>
        <v>136390.6</v>
      </c>
      <c r="E248" s="30">
        <f>E249+E261</f>
        <v>124375.9</v>
      </c>
      <c r="F248" s="30">
        <f>F249+F261</f>
        <v>127463.3</v>
      </c>
      <c r="G248" s="152"/>
    </row>
    <row r="249" spans="1:30" s="134" customFormat="1" x14ac:dyDescent="0.25">
      <c r="A249" s="271" t="s">
        <v>158</v>
      </c>
      <c r="B249" s="156" t="s">
        <v>119</v>
      </c>
      <c r="C249" s="593"/>
      <c r="D249" s="27">
        <f>D250+D257</f>
        <v>10724.5</v>
      </c>
      <c r="E249" s="517">
        <f>E250+E257</f>
        <v>3632.9</v>
      </c>
      <c r="F249" s="517">
        <f>F250+F257</f>
        <v>5239.3</v>
      </c>
      <c r="G249" s="152"/>
    </row>
    <row r="250" spans="1:30" s="134" customFormat="1" ht="31.5" x14ac:dyDescent="0.25">
      <c r="A250" s="459" t="s">
        <v>749</v>
      </c>
      <c r="B250" s="156" t="s">
        <v>129</v>
      </c>
      <c r="C250" s="593"/>
      <c r="D250" s="27">
        <f t="shared" ref="D250:S251" si="87">D251</f>
        <v>5319.5</v>
      </c>
      <c r="E250" s="27">
        <f t="shared" si="87"/>
        <v>3632.9</v>
      </c>
      <c r="F250" s="27">
        <f t="shared" si="87"/>
        <v>5239.3</v>
      </c>
      <c r="G250" s="152"/>
    </row>
    <row r="251" spans="1:30" s="134" customFormat="1" ht="31.5" x14ac:dyDescent="0.25">
      <c r="A251" s="278" t="s">
        <v>523</v>
      </c>
      <c r="B251" s="156" t="s">
        <v>160</v>
      </c>
      <c r="C251" s="593"/>
      <c r="D251" s="27">
        <f>D252+D254</f>
        <v>5319.5</v>
      </c>
      <c r="E251" s="517">
        <f t="shared" ref="E251:F251" si="88">E252+E254</f>
        <v>3632.9</v>
      </c>
      <c r="F251" s="517">
        <f t="shared" si="88"/>
        <v>5239.3</v>
      </c>
      <c r="G251" s="517">
        <f t="shared" si="87"/>
        <v>0</v>
      </c>
      <c r="H251" s="517">
        <f t="shared" si="87"/>
        <v>0</v>
      </c>
      <c r="I251" s="517">
        <f t="shared" si="87"/>
        <v>0</v>
      </c>
      <c r="J251" s="517">
        <f t="shared" si="87"/>
        <v>0</v>
      </c>
      <c r="K251" s="517">
        <f t="shared" si="87"/>
        <v>0</v>
      </c>
      <c r="L251" s="517">
        <f t="shared" si="87"/>
        <v>0</v>
      </c>
      <c r="M251" s="517">
        <f t="shared" si="87"/>
        <v>0</v>
      </c>
      <c r="N251" s="517">
        <f t="shared" si="87"/>
        <v>0</v>
      </c>
      <c r="O251" s="517">
        <f t="shared" si="87"/>
        <v>0</v>
      </c>
      <c r="P251" s="517">
        <f t="shared" si="87"/>
        <v>0</v>
      </c>
      <c r="Q251" s="517">
        <f t="shared" si="87"/>
        <v>0</v>
      </c>
      <c r="R251" s="517">
        <f t="shared" si="87"/>
        <v>0</v>
      </c>
      <c r="S251" s="517">
        <f t="shared" si="87"/>
        <v>0</v>
      </c>
      <c r="T251" s="517">
        <f t="shared" ref="T251:AD251" si="89">T252</f>
        <v>0</v>
      </c>
      <c r="U251" s="517">
        <f t="shared" si="89"/>
        <v>0</v>
      </c>
      <c r="V251" s="517">
        <f t="shared" si="89"/>
        <v>0</v>
      </c>
      <c r="W251" s="517">
        <f t="shared" si="89"/>
        <v>0</v>
      </c>
      <c r="X251" s="517">
        <f t="shared" si="89"/>
        <v>0</v>
      </c>
      <c r="Y251" s="517">
        <f t="shared" si="89"/>
        <v>0</v>
      </c>
      <c r="Z251" s="517">
        <f t="shared" si="89"/>
        <v>0</v>
      </c>
      <c r="AA251" s="517">
        <f t="shared" si="89"/>
        <v>0</v>
      </c>
      <c r="AB251" s="517">
        <f t="shared" si="89"/>
        <v>0</v>
      </c>
      <c r="AC251" s="517">
        <f t="shared" si="89"/>
        <v>0</v>
      </c>
      <c r="AD251" s="517">
        <f t="shared" si="89"/>
        <v>0</v>
      </c>
    </row>
    <row r="252" spans="1:30" s="134" customFormat="1" x14ac:dyDescent="0.25">
      <c r="A252" s="393" t="s">
        <v>120</v>
      </c>
      <c r="B252" s="156" t="s">
        <v>160</v>
      </c>
      <c r="C252" s="601">
        <v>200</v>
      </c>
      <c r="D252" s="27">
        <f>D253</f>
        <v>4119.5</v>
      </c>
      <c r="E252" s="27">
        <f>E253</f>
        <v>2857.9</v>
      </c>
      <c r="F252" s="27">
        <f>F253</f>
        <v>3239.3</v>
      </c>
      <c r="G252" s="152"/>
    </row>
    <row r="253" spans="1:30" s="134" customFormat="1" x14ac:dyDescent="0.25">
      <c r="A253" s="393" t="s">
        <v>52</v>
      </c>
      <c r="B253" s="156" t="s">
        <v>160</v>
      </c>
      <c r="C253" s="601">
        <v>240</v>
      </c>
      <c r="D253" s="27">
        <f>'Функц. 2025-2027'!F960</f>
        <v>4119.5</v>
      </c>
      <c r="E253" s="27">
        <f>'Функц. 2025-2027'!H960</f>
        <v>2857.9</v>
      </c>
      <c r="F253" s="27">
        <f>'Функц. 2025-2027'!J960</f>
        <v>3239.3</v>
      </c>
      <c r="G253" s="152"/>
    </row>
    <row r="254" spans="1:30" s="513" customFormat="1" ht="31.5" x14ac:dyDescent="0.25">
      <c r="A254" s="559" t="s">
        <v>60</v>
      </c>
      <c r="B254" s="156" t="s">
        <v>160</v>
      </c>
      <c r="C254" s="454">
        <v>600</v>
      </c>
      <c r="D254" s="517">
        <f>D255+D256</f>
        <v>1200</v>
      </c>
      <c r="E254" s="517">
        <f t="shared" ref="E254:F254" si="90">E255+E256</f>
        <v>775</v>
      </c>
      <c r="F254" s="517">
        <f t="shared" si="90"/>
        <v>2000</v>
      </c>
      <c r="G254" s="520"/>
    </row>
    <row r="255" spans="1:30" s="513" customFormat="1" x14ac:dyDescent="0.25">
      <c r="A255" s="479" t="s">
        <v>61</v>
      </c>
      <c r="B255" s="156" t="s">
        <v>160</v>
      </c>
      <c r="C255" s="454">
        <v>610</v>
      </c>
      <c r="D255" s="517">
        <f>'Функц. 2025-2027'!F962</f>
        <v>450</v>
      </c>
      <c r="E255" s="517">
        <f>'Функц. 2025-2027'!H962</f>
        <v>450</v>
      </c>
      <c r="F255" s="517">
        <f>'Функц. 2025-2027'!J962</f>
        <v>1162</v>
      </c>
      <c r="G255" s="520"/>
    </row>
    <row r="256" spans="1:30" s="513" customFormat="1" x14ac:dyDescent="0.25">
      <c r="A256" s="560" t="s">
        <v>130</v>
      </c>
      <c r="B256" s="156" t="s">
        <v>160</v>
      </c>
      <c r="C256" s="454">
        <v>620</v>
      </c>
      <c r="D256" s="517">
        <f>'Функц. 2025-2027'!F963</f>
        <v>750</v>
      </c>
      <c r="E256" s="517">
        <f>'Функц. 2025-2027'!H963</f>
        <v>325</v>
      </c>
      <c r="F256" s="517">
        <f>'Функц. 2025-2027'!J963</f>
        <v>838</v>
      </c>
      <c r="G256" s="520"/>
    </row>
    <row r="257" spans="1:7" s="513" customFormat="1" x14ac:dyDescent="0.25">
      <c r="A257" s="451" t="s">
        <v>685</v>
      </c>
      <c r="B257" s="612" t="s">
        <v>686</v>
      </c>
      <c r="C257" s="460"/>
      <c r="D257" s="517">
        <f>D258</f>
        <v>5405</v>
      </c>
      <c r="E257" s="517">
        <f t="shared" ref="E257:F257" si="91">E258</f>
        <v>0</v>
      </c>
      <c r="F257" s="517">
        <f t="shared" si="91"/>
        <v>0</v>
      </c>
      <c r="G257" s="520"/>
    </row>
    <row r="258" spans="1:7" s="513" customFormat="1" x14ac:dyDescent="0.25">
      <c r="A258" s="451" t="s">
        <v>687</v>
      </c>
      <c r="B258" s="612" t="s">
        <v>688</v>
      </c>
      <c r="C258" s="460"/>
      <c r="D258" s="517">
        <f>D259</f>
        <v>5405</v>
      </c>
      <c r="E258" s="517">
        <f t="shared" ref="E258:F258" si="92">E259</f>
        <v>0</v>
      </c>
      <c r="F258" s="517">
        <f t="shared" si="92"/>
        <v>0</v>
      </c>
      <c r="G258" s="520"/>
    </row>
    <row r="259" spans="1:7" s="513" customFormat="1" x14ac:dyDescent="0.25">
      <c r="A259" s="451" t="s">
        <v>120</v>
      </c>
      <c r="B259" s="612" t="s">
        <v>688</v>
      </c>
      <c r="C259" s="460">
        <v>200</v>
      </c>
      <c r="D259" s="517">
        <f>D260</f>
        <v>5405</v>
      </c>
      <c r="E259" s="517">
        <f t="shared" ref="E259:F259" si="93">E260</f>
        <v>0</v>
      </c>
      <c r="F259" s="517">
        <f t="shared" si="93"/>
        <v>0</v>
      </c>
      <c r="G259" s="520"/>
    </row>
    <row r="260" spans="1:7" s="513" customFormat="1" x14ac:dyDescent="0.25">
      <c r="A260" s="451" t="s">
        <v>52</v>
      </c>
      <c r="B260" s="612" t="s">
        <v>688</v>
      </c>
      <c r="C260" s="460">
        <v>240</v>
      </c>
      <c r="D260" s="517">
        <f>'Функц. 2025-2027'!F967</f>
        <v>5405</v>
      </c>
      <c r="E260" s="517">
        <f>'Функц. 2025-2027'!H967</f>
        <v>0</v>
      </c>
      <c r="F260" s="517">
        <f>'Функц. 2025-2027'!J967</f>
        <v>0</v>
      </c>
      <c r="G260" s="520"/>
    </row>
    <row r="261" spans="1:7" s="134" customFormat="1" x14ac:dyDescent="0.25">
      <c r="A261" s="273" t="s">
        <v>600</v>
      </c>
      <c r="B261" s="156" t="s">
        <v>601</v>
      </c>
      <c r="C261" s="601"/>
      <c r="D261" s="27">
        <f t="shared" ref="D261:F264" si="94">D262</f>
        <v>125666.1</v>
      </c>
      <c r="E261" s="27">
        <f t="shared" si="94"/>
        <v>120743</v>
      </c>
      <c r="F261" s="27">
        <f t="shared" si="94"/>
        <v>122224</v>
      </c>
      <c r="G261" s="152"/>
    </row>
    <row r="262" spans="1:7" s="134" customFormat="1" x14ac:dyDescent="0.25">
      <c r="A262" s="273" t="s">
        <v>603</v>
      </c>
      <c r="B262" s="156" t="s">
        <v>602</v>
      </c>
      <c r="C262" s="601"/>
      <c r="D262" s="27">
        <f t="shared" si="94"/>
        <v>125666.1</v>
      </c>
      <c r="E262" s="27">
        <f t="shared" si="94"/>
        <v>120743</v>
      </c>
      <c r="F262" s="27">
        <f t="shared" si="94"/>
        <v>122224</v>
      </c>
      <c r="G262" s="152"/>
    </row>
    <row r="263" spans="1:7" s="134" customFormat="1" ht="31.5" x14ac:dyDescent="0.25">
      <c r="A263" s="273" t="s">
        <v>605</v>
      </c>
      <c r="B263" s="156" t="s">
        <v>604</v>
      </c>
      <c r="C263" s="601"/>
      <c r="D263" s="27">
        <f t="shared" si="94"/>
        <v>125666.1</v>
      </c>
      <c r="E263" s="27">
        <f t="shared" si="94"/>
        <v>120743</v>
      </c>
      <c r="F263" s="27">
        <f t="shared" si="94"/>
        <v>122224</v>
      </c>
      <c r="G263" s="152"/>
    </row>
    <row r="264" spans="1:7" s="134" customFormat="1" ht="31.5" x14ac:dyDescent="0.25">
      <c r="A264" s="523" t="s">
        <v>60</v>
      </c>
      <c r="B264" s="156" t="s">
        <v>604</v>
      </c>
      <c r="C264" s="601">
        <v>600</v>
      </c>
      <c r="D264" s="27">
        <f t="shared" si="94"/>
        <v>125666.1</v>
      </c>
      <c r="E264" s="27">
        <f t="shared" si="94"/>
        <v>120743</v>
      </c>
      <c r="F264" s="27">
        <f t="shared" si="94"/>
        <v>122224</v>
      </c>
      <c r="G264" s="152"/>
    </row>
    <row r="265" spans="1:7" s="134" customFormat="1" x14ac:dyDescent="0.25">
      <c r="A265" s="273" t="s">
        <v>130</v>
      </c>
      <c r="B265" s="156" t="s">
        <v>604</v>
      </c>
      <c r="C265" s="601">
        <v>620</v>
      </c>
      <c r="D265" s="27">
        <f>'Функц. 2025-2027'!F974</f>
        <v>125666.1</v>
      </c>
      <c r="E265" s="27">
        <f>'Функц. 2025-2027'!H974</f>
        <v>120743</v>
      </c>
      <c r="F265" s="27">
        <f>'Функц. 2025-2027'!J974</f>
        <v>122224</v>
      </c>
      <c r="G265" s="152"/>
    </row>
    <row r="266" spans="1:7" ht="18.75" x14ac:dyDescent="0.3">
      <c r="A266" s="392" t="s">
        <v>238</v>
      </c>
      <c r="B266" s="614" t="s">
        <v>138</v>
      </c>
      <c r="C266" s="602"/>
      <c r="D266" s="30">
        <f t="shared" ref="D266:F268" si="95">D267</f>
        <v>919</v>
      </c>
      <c r="E266" s="30">
        <f t="shared" si="95"/>
        <v>919</v>
      </c>
      <c r="F266" s="30">
        <f t="shared" si="95"/>
        <v>919</v>
      </c>
      <c r="G266" s="152"/>
    </row>
    <row r="267" spans="1:7" ht="31.5" x14ac:dyDescent="0.3">
      <c r="A267" s="271" t="s">
        <v>524</v>
      </c>
      <c r="B267" s="156" t="s">
        <v>239</v>
      </c>
      <c r="C267" s="602"/>
      <c r="D267" s="27">
        <f t="shared" si="95"/>
        <v>919</v>
      </c>
      <c r="E267" s="27">
        <f t="shared" si="95"/>
        <v>919</v>
      </c>
      <c r="F267" s="27">
        <f t="shared" si="95"/>
        <v>919</v>
      </c>
      <c r="G267" s="152"/>
    </row>
    <row r="268" spans="1:7" ht="18.75" x14ac:dyDescent="0.3">
      <c r="A268" s="255" t="s">
        <v>525</v>
      </c>
      <c r="B268" s="156" t="s">
        <v>240</v>
      </c>
      <c r="C268" s="602"/>
      <c r="D268" s="27">
        <f t="shared" si="95"/>
        <v>919</v>
      </c>
      <c r="E268" s="27">
        <f t="shared" si="95"/>
        <v>919</v>
      </c>
      <c r="F268" s="27">
        <f t="shared" si="95"/>
        <v>919</v>
      </c>
      <c r="G268" s="152"/>
    </row>
    <row r="269" spans="1:7" ht="31.5" x14ac:dyDescent="0.25">
      <c r="A269" s="255" t="s">
        <v>421</v>
      </c>
      <c r="B269" s="156" t="s">
        <v>241</v>
      </c>
      <c r="C269" s="444"/>
      <c r="D269" s="27">
        <f>D272+D270</f>
        <v>919</v>
      </c>
      <c r="E269" s="517">
        <f t="shared" ref="E269:F269" si="96">E272+E270</f>
        <v>919</v>
      </c>
      <c r="F269" s="517">
        <f t="shared" si="96"/>
        <v>919</v>
      </c>
      <c r="G269" s="152"/>
    </row>
    <row r="270" spans="1:7" s="519" customFormat="1" ht="47.25" x14ac:dyDescent="0.25">
      <c r="A270" s="451" t="s">
        <v>41</v>
      </c>
      <c r="B270" s="542" t="s">
        <v>241</v>
      </c>
      <c r="C270" s="454">
        <v>100</v>
      </c>
      <c r="D270" s="517">
        <f>D271</f>
        <v>307</v>
      </c>
      <c r="E270" s="517">
        <f t="shared" ref="E270:F270" si="97">E271</f>
        <v>0</v>
      </c>
      <c r="F270" s="517">
        <f t="shared" si="97"/>
        <v>0</v>
      </c>
      <c r="G270" s="520"/>
    </row>
    <row r="271" spans="1:7" s="519" customFormat="1" x14ac:dyDescent="0.25">
      <c r="A271" s="451" t="s">
        <v>96</v>
      </c>
      <c r="B271" s="542" t="s">
        <v>241</v>
      </c>
      <c r="C271" s="454">
        <v>120</v>
      </c>
      <c r="D271" s="517">
        <f>'Функц. 2025-2027'!F317</f>
        <v>307</v>
      </c>
      <c r="E271" s="517">
        <f>'Функц. 2025-2027'!H317</f>
        <v>0</v>
      </c>
      <c r="F271" s="517">
        <f>'Функц. 2025-2027'!J317</f>
        <v>0</v>
      </c>
      <c r="G271" s="520"/>
    </row>
    <row r="272" spans="1:7" x14ac:dyDescent="0.25">
      <c r="A272" s="273" t="s">
        <v>120</v>
      </c>
      <c r="B272" s="156" t="s">
        <v>241</v>
      </c>
      <c r="C272" s="407">
        <v>200</v>
      </c>
      <c r="D272" s="27">
        <f>D273</f>
        <v>612</v>
      </c>
      <c r="E272" s="27">
        <f>E273</f>
        <v>919</v>
      </c>
      <c r="F272" s="27">
        <f>F273</f>
        <v>919</v>
      </c>
      <c r="G272" s="152"/>
    </row>
    <row r="273" spans="1:7" x14ac:dyDescent="0.25">
      <c r="A273" s="273" t="s">
        <v>52</v>
      </c>
      <c r="B273" s="156" t="s">
        <v>241</v>
      </c>
      <c r="C273" s="444">
        <v>240</v>
      </c>
      <c r="D273" s="27">
        <f>'Функц. 2025-2027'!F319</f>
        <v>612</v>
      </c>
      <c r="E273" s="27">
        <f>'Функц. 2025-2027'!H319</f>
        <v>919</v>
      </c>
      <c r="F273" s="27">
        <f>'Функц. 2025-2027'!J319</f>
        <v>919</v>
      </c>
      <c r="G273" s="152"/>
    </row>
    <row r="274" spans="1:7" s="513" customFormat="1" x14ac:dyDescent="0.25">
      <c r="A274" s="254" t="s">
        <v>692</v>
      </c>
      <c r="B274" s="614" t="s">
        <v>693</v>
      </c>
      <c r="C274" s="600"/>
      <c r="D274" s="518">
        <f>D275</f>
        <v>134</v>
      </c>
      <c r="E274" s="518">
        <f t="shared" ref="E274:F277" si="98">E275</f>
        <v>134</v>
      </c>
      <c r="F274" s="518">
        <f t="shared" si="98"/>
        <v>134</v>
      </c>
      <c r="G274" s="531"/>
    </row>
    <row r="275" spans="1:7" s="519" customFormat="1" x14ac:dyDescent="0.25">
      <c r="A275" s="523" t="s">
        <v>694</v>
      </c>
      <c r="B275" s="156" t="s">
        <v>695</v>
      </c>
      <c r="C275" s="444"/>
      <c r="D275" s="517">
        <f>D276</f>
        <v>134</v>
      </c>
      <c r="E275" s="517">
        <f t="shared" si="98"/>
        <v>134</v>
      </c>
      <c r="F275" s="517">
        <f t="shared" si="98"/>
        <v>134</v>
      </c>
      <c r="G275" s="520"/>
    </row>
    <row r="276" spans="1:7" s="519" customFormat="1" x14ac:dyDescent="0.25">
      <c r="A276" s="523" t="s">
        <v>696</v>
      </c>
      <c r="B276" s="156" t="s">
        <v>697</v>
      </c>
      <c r="C276" s="444"/>
      <c r="D276" s="517">
        <f>D277</f>
        <v>134</v>
      </c>
      <c r="E276" s="517">
        <f t="shared" si="98"/>
        <v>134</v>
      </c>
      <c r="F276" s="517">
        <f t="shared" si="98"/>
        <v>134</v>
      </c>
      <c r="G276" s="520"/>
    </row>
    <row r="277" spans="1:7" s="519" customFormat="1" ht="24.75" customHeight="1" x14ac:dyDescent="0.25">
      <c r="A277" s="523" t="s">
        <v>750</v>
      </c>
      <c r="B277" s="156" t="s">
        <v>698</v>
      </c>
      <c r="C277" s="444"/>
      <c r="D277" s="517">
        <f>D278</f>
        <v>134</v>
      </c>
      <c r="E277" s="517">
        <f t="shared" si="98"/>
        <v>134</v>
      </c>
      <c r="F277" s="517">
        <f t="shared" si="98"/>
        <v>134</v>
      </c>
      <c r="G277" s="520"/>
    </row>
    <row r="278" spans="1:7" s="519" customFormat="1" ht="31.5" x14ac:dyDescent="0.25">
      <c r="A278" s="377" t="s">
        <v>60</v>
      </c>
      <c r="B278" s="156" t="s">
        <v>698</v>
      </c>
      <c r="C278" s="444">
        <v>600</v>
      </c>
      <c r="D278" s="517">
        <f>D279</f>
        <v>134</v>
      </c>
      <c r="E278" s="517">
        <f t="shared" ref="E278:F278" si="99">E279</f>
        <v>134</v>
      </c>
      <c r="F278" s="517">
        <f t="shared" si="99"/>
        <v>134</v>
      </c>
      <c r="G278" s="520"/>
    </row>
    <row r="279" spans="1:7" s="519" customFormat="1" x14ac:dyDescent="0.25">
      <c r="A279" s="523" t="s">
        <v>61</v>
      </c>
      <c r="B279" s="156" t="s">
        <v>698</v>
      </c>
      <c r="C279" s="444">
        <v>610</v>
      </c>
      <c r="D279" s="517">
        <f>'Функц. 2025-2027'!F619</f>
        <v>134</v>
      </c>
      <c r="E279" s="517">
        <f>'Функц. 2025-2027'!H619</f>
        <v>134</v>
      </c>
      <c r="F279" s="517">
        <f>'Функц. 2025-2027'!J619</f>
        <v>134</v>
      </c>
      <c r="G279" s="520"/>
    </row>
    <row r="280" spans="1:7" s="134" customFormat="1" ht="31.5" x14ac:dyDescent="0.25">
      <c r="A280" s="395" t="s">
        <v>161</v>
      </c>
      <c r="B280" s="617" t="s">
        <v>102</v>
      </c>
      <c r="C280" s="593"/>
      <c r="D280" s="30">
        <f>D281+D311+D322+D335+D342+D349</f>
        <v>74492.899999999994</v>
      </c>
      <c r="E280" s="30">
        <f>E281+E311+E322+E335+E349+E342</f>
        <v>30390</v>
      </c>
      <c r="F280" s="30">
        <f>F281+F311+F322+F335+F349+F342</f>
        <v>28356.400000000001</v>
      </c>
      <c r="G280" s="152"/>
    </row>
    <row r="281" spans="1:7" s="134" customFormat="1" x14ac:dyDescent="0.25">
      <c r="A281" s="275" t="s">
        <v>162</v>
      </c>
      <c r="B281" s="26" t="s">
        <v>106</v>
      </c>
      <c r="C281" s="407"/>
      <c r="D281" s="27">
        <f>D282+D286+D290+D294</f>
        <v>43975.1</v>
      </c>
      <c r="E281" s="27">
        <f>E282+E286+E290+E294</f>
        <v>17532</v>
      </c>
      <c r="F281" s="27">
        <f>F282+F286+F290+F294</f>
        <v>15462.4</v>
      </c>
      <c r="G281" s="152"/>
    </row>
    <row r="282" spans="1:7" s="134" customFormat="1" ht="31.5" x14ac:dyDescent="0.25">
      <c r="A282" s="277" t="s">
        <v>163</v>
      </c>
      <c r="B282" s="156" t="s">
        <v>123</v>
      </c>
      <c r="C282" s="407"/>
      <c r="D282" s="27">
        <f t="shared" ref="D282:F284" si="100">D283</f>
        <v>864.8</v>
      </c>
      <c r="E282" s="27">
        <f t="shared" si="100"/>
        <v>64.8</v>
      </c>
      <c r="F282" s="27">
        <f t="shared" si="100"/>
        <v>64.8</v>
      </c>
      <c r="G282" s="152"/>
    </row>
    <row r="283" spans="1:7" s="134" customFormat="1" ht="31.5" x14ac:dyDescent="0.25">
      <c r="A283" s="277" t="s">
        <v>164</v>
      </c>
      <c r="B283" s="156" t="s">
        <v>165</v>
      </c>
      <c r="C283" s="407"/>
      <c r="D283" s="27">
        <f>D284</f>
        <v>864.8</v>
      </c>
      <c r="E283" s="27">
        <f t="shared" si="100"/>
        <v>64.8</v>
      </c>
      <c r="F283" s="27">
        <f t="shared" si="100"/>
        <v>64.8</v>
      </c>
      <c r="G283" s="152"/>
    </row>
    <row r="284" spans="1:7" s="134" customFormat="1" ht="31.5" x14ac:dyDescent="0.25">
      <c r="A284" s="393" t="s">
        <v>60</v>
      </c>
      <c r="B284" s="156" t="s">
        <v>165</v>
      </c>
      <c r="C284" s="444">
        <v>600</v>
      </c>
      <c r="D284" s="27">
        <f t="shared" si="100"/>
        <v>864.8</v>
      </c>
      <c r="E284" s="27">
        <f t="shared" si="100"/>
        <v>64.8</v>
      </c>
      <c r="F284" s="27">
        <f t="shared" si="100"/>
        <v>64.8</v>
      </c>
      <c r="G284" s="152"/>
    </row>
    <row r="285" spans="1:7" s="134" customFormat="1" ht="31.5" x14ac:dyDescent="0.25">
      <c r="A285" s="393" t="s">
        <v>407</v>
      </c>
      <c r="B285" s="156" t="s">
        <v>165</v>
      </c>
      <c r="C285" s="444">
        <v>630</v>
      </c>
      <c r="D285" s="27">
        <f>'Функц. 2025-2027'!F300</f>
        <v>864.8</v>
      </c>
      <c r="E285" s="27">
        <f>'Функц. 2025-2027'!H300</f>
        <v>64.8</v>
      </c>
      <c r="F285" s="27">
        <f>'Функц. 2025-2027'!J300</f>
        <v>64.8</v>
      </c>
      <c r="G285" s="152"/>
    </row>
    <row r="286" spans="1:7" s="134" customFormat="1" ht="31.5" x14ac:dyDescent="0.25">
      <c r="A286" s="277" t="s">
        <v>526</v>
      </c>
      <c r="B286" s="156" t="s">
        <v>166</v>
      </c>
      <c r="C286" s="407"/>
      <c r="D286" s="27">
        <f t="shared" ref="D286:F287" si="101">D287</f>
        <v>286.8</v>
      </c>
      <c r="E286" s="27">
        <f t="shared" si="101"/>
        <v>295.2</v>
      </c>
      <c r="F286" s="27">
        <f t="shared" si="101"/>
        <v>295.2</v>
      </c>
      <c r="G286" s="152"/>
    </row>
    <row r="287" spans="1:7" s="134" customFormat="1" ht="31.5" x14ac:dyDescent="0.25">
      <c r="A287" s="275" t="s">
        <v>597</v>
      </c>
      <c r="B287" s="156" t="s">
        <v>598</v>
      </c>
      <c r="C287" s="407"/>
      <c r="D287" s="27">
        <f t="shared" si="101"/>
        <v>286.8</v>
      </c>
      <c r="E287" s="27">
        <f t="shared" si="101"/>
        <v>295.2</v>
      </c>
      <c r="F287" s="27">
        <f t="shared" si="101"/>
        <v>295.2</v>
      </c>
      <c r="G287" s="152"/>
    </row>
    <row r="288" spans="1:7" s="134" customFormat="1" x14ac:dyDescent="0.25">
      <c r="A288" s="273" t="s">
        <v>120</v>
      </c>
      <c r="B288" s="156" t="s">
        <v>598</v>
      </c>
      <c r="C288" s="444">
        <v>200</v>
      </c>
      <c r="D288" s="27">
        <f>D289</f>
        <v>286.8</v>
      </c>
      <c r="E288" s="27">
        <f>E289</f>
        <v>295.2</v>
      </c>
      <c r="F288" s="27">
        <f>F289</f>
        <v>295.2</v>
      </c>
      <c r="G288" s="152"/>
    </row>
    <row r="289" spans="1:7" s="134" customFormat="1" x14ac:dyDescent="0.25">
      <c r="A289" s="273" t="s">
        <v>52</v>
      </c>
      <c r="B289" s="156" t="s">
        <v>598</v>
      </c>
      <c r="C289" s="444">
        <v>240</v>
      </c>
      <c r="D289" s="27">
        <f>'Функц. 2025-2027'!F763</f>
        <v>286.8</v>
      </c>
      <c r="E289" s="27">
        <f>'Функц. 2025-2027'!H763</f>
        <v>295.2</v>
      </c>
      <c r="F289" s="27">
        <f>'Функц. 2025-2027'!J763</f>
        <v>295.2</v>
      </c>
      <c r="G289" s="152"/>
    </row>
    <row r="290" spans="1:7" s="134" customFormat="1" ht="31.5" x14ac:dyDescent="0.25">
      <c r="A290" s="277" t="s">
        <v>167</v>
      </c>
      <c r="B290" s="156" t="s">
        <v>168</v>
      </c>
      <c r="C290" s="444"/>
      <c r="D290" s="27">
        <f t="shared" ref="D290:F292" si="102">D291</f>
        <v>18479</v>
      </c>
      <c r="E290" s="27">
        <f t="shared" si="102"/>
        <v>12054</v>
      </c>
      <c r="F290" s="27">
        <f t="shared" si="102"/>
        <v>9984.4</v>
      </c>
      <c r="G290" s="152"/>
    </row>
    <row r="291" spans="1:7" s="134" customFormat="1" x14ac:dyDescent="0.25">
      <c r="A291" s="275" t="s">
        <v>169</v>
      </c>
      <c r="B291" s="156" t="s">
        <v>170</v>
      </c>
      <c r="C291" s="444"/>
      <c r="D291" s="27">
        <f t="shared" si="102"/>
        <v>18479</v>
      </c>
      <c r="E291" s="27">
        <f t="shared" si="102"/>
        <v>12054</v>
      </c>
      <c r="F291" s="27">
        <f t="shared" si="102"/>
        <v>9984.4</v>
      </c>
      <c r="G291" s="152"/>
    </row>
    <row r="292" spans="1:7" s="134" customFormat="1" x14ac:dyDescent="0.25">
      <c r="A292" s="273" t="s">
        <v>120</v>
      </c>
      <c r="B292" s="156" t="s">
        <v>170</v>
      </c>
      <c r="C292" s="444">
        <v>200</v>
      </c>
      <c r="D292" s="27">
        <f t="shared" si="102"/>
        <v>18479</v>
      </c>
      <c r="E292" s="27">
        <f t="shared" si="102"/>
        <v>12054</v>
      </c>
      <c r="F292" s="27">
        <f t="shared" si="102"/>
        <v>9984.4</v>
      </c>
      <c r="G292" s="152"/>
    </row>
    <row r="293" spans="1:7" s="134" customFormat="1" x14ac:dyDescent="0.25">
      <c r="A293" s="273" t="s">
        <v>52</v>
      </c>
      <c r="B293" s="156" t="s">
        <v>170</v>
      </c>
      <c r="C293" s="444">
        <v>240</v>
      </c>
      <c r="D293" s="27">
        <f>'Функц. 2025-2027'!F304</f>
        <v>18479</v>
      </c>
      <c r="E293" s="27">
        <f>'Функц. 2025-2027'!H304</f>
        <v>12054</v>
      </c>
      <c r="F293" s="27">
        <f>'Функц. 2025-2027'!J304</f>
        <v>9984.4</v>
      </c>
      <c r="G293" s="152"/>
    </row>
    <row r="294" spans="1:7" s="134" customFormat="1" x14ac:dyDescent="0.25">
      <c r="A294" s="274" t="s">
        <v>527</v>
      </c>
      <c r="B294" s="26" t="s">
        <v>335</v>
      </c>
      <c r="C294" s="525"/>
      <c r="D294" s="27">
        <f>D295+D298+D301+D308</f>
        <v>24344.5</v>
      </c>
      <c r="E294" s="27">
        <f>E295+E298+E301+E308</f>
        <v>5118</v>
      </c>
      <c r="F294" s="27">
        <f>F295+F298+F301+F308</f>
        <v>5118</v>
      </c>
      <c r="G294" s="152"/>
    </row>
    <row r="295" spans="1:7" s="134" customFormat="1" x14ac:dyDescent="0.25">
      <c r="A295" s="274" t="s">
        <v>246</v>
      </c>
      <c r="B295" s="156" t="s">
        <v>334</v>
      </c>
      <c r="C295" s="407"/>
      <c r="D295" s="27">
        <f t="shared" ref="D295:F296" si="103">D296</f>
        <v>607.70000000000005</v>
      </c>
      <c r="E295" s="27">
        <f t="shared" si="103"/>
        <v>0</v>
      </c>
      <c r="F295" s="27">
        <f t="shared" si="103"/>
        <v>0</v>
      </c>
      <c r="G295" s="152"/>
    </row>
    <row r="296" spans="1:7" s="134" customFormat="1" x14ac:dyDescent="0.25">
      <c r="A296" s="393" t="s">
        <v>120</v>
      </c>
      <c r="B296" s="156" t="s">
        <v>334</v>
      </c>
      <c r="C296" s="444">
        <v>200</v>
      </c>
      <c r="D296" s="27">
        <f t="shared" si="103"/>
        <v>607.70000000000005</v>
      </c>
      <c r="E296" s="27">
        <f t="shared" si="103"/>
        <v>0</v>
      </c>
      <c r="F296" s="27">
        <f t="shared" si="103"/>
        <v>0</v>
      </c>
      <c r="G296" s="152"/>
    </row>
    <row r="297" spans="1:7" s="134" customFormat="1" x14ac:dyDescent="0.25">
      <c r="A297" s="393" t="s">
        <v>52</v>
      </c>
      <c r="B297" s="156" t="s">
        <v>334</v>
      </c>
      <c r="C297" s="444">
        <v>240</v>
      </c>
      <c r="D297" s="27">
        <f>'Функц. 2025-2027'!F387</f>
        <v>607.70000000000005</v>
      </c>
      <c r="E297" s="27">
        <f>'Функц. 2025-2027'!H387</f>
        <v>0</v>
      </c>
      <c r="F297" s="27">
        <f>'Функц. 2025-2027'!J387</f>
        <v>0</v>
      </c>
      <c r="G297" s="152"/>
    </row>
    <row r="298" spans="1:7" x14ac:dyDescent="0.25">
      <c r="A298" s="277" t="s">
        <v>248</v>
      </c>
      <c r="B298" s="26" t="s">
        <v>355</v>
      </c>
      <c r="C298" s="525"/>
      <c r="D298" s="27">
        <f t="shared" ref="D298:F299" si="104">D299</f>
        <v>15638.8</v>
      </c>
      <c r="E298" s="27">
        <f t="shared" si="104"/>
        <v>0</v>
      </c>
      <c r="F298" s="27">
        <f t="shared" si="104"/>
        <v>0</v>
      </c>
      <c r="G298" s="152"/>
    </row>
    <row r="299" spans="1:7" x14ac:dyDescent="0.25">
      <c r="A299" s="273" t="s">
        <v>120</v>
      </c>
      <c r="B299" s="26" t="s">
        <v>355</v>
      </c>
      <c r="C299" s="525" t="s">
        <v>37</v>
      </c>
      <c r="D299" s="27">
        <f t="shared" si="104"/>
        <v>15638.8</v>
      </c>
      <c r="E299" s="27">
        <f t="shared" si="104"/>
        <v>0</v>
      </c>
      <c r="F299" s="27">
        <f t="shared" si="104"/>
        <v>0</v>
      </c>
      <c r="G299" s="152"/>
    </row>
    <row r="300" spans="1:7" x14ac:dyDescent="0.25">
      <c r="A300" s="273" t="s">
        <v>52</v>
      </c>
      <c r="B300" s="26" t="s">
        <v>355</v>
      </c>
      <c r="C300" s="525" t="s">
        <v>65</v>
      </c>
      <c r="D300" s="27">
        <f>'Функц. 2025-2027'!F489</f>
        <v>15638.8</v>
      </c>
      <c r="E300" s="27">
        <f>'Функц. 2025-2027'!H489</f>
        <v>0</v>
      </c>
      <c r="F300" s="27">
        <f>'Функц. 2025-2027'!J489</f>
        <v>0</v>
      </c>
      <c r="G300" s="152"/>
    </row>
    <row r="301" spans="1:7" ht="31.5" x14ac:dyDescent="0.25">
      <c r="A301" s="276" t="s">
        <v>247</v>
      </c>
      <c r="B301" s="26" t="s">
        <v>337</v>
      </c>
      <c r="C301" s="525"/>
      <c r="D301" s="27">
        <f>D302+D304+D306</f>
        <v>7721</v>
      </c>
      <c r="E301" s="517">
        <f t="shared" ref="E301:F301" si="105">E302+E304+E306</f>
        <v>4741</v>
      </c>
      <c r="F301" s="517">
        <f t="shared" si="105"/>
        <v>4741</v>
      </c>
      <c r="G301" s="152"/>
    </row>
    <row r="302" spans="1:7" ht="47.25" x14ac:dyDescent="0.25">
      <c r="A302" s="273" t="s">
        <v>41</v>
      </c>
      <c r="B302" s="26" t="s">
        <v>337</v>
      </c>
      <c r="C302" s="525" t="s">
        <v>127</v>
      </c>
      <c r="D302" s="27">
        <f>D303</f>
        <v>7023.2</v>
      </c>
      <c r="E302" s="27">
        <f>E303</f>
        <v>3841.6</v>
      </c>
      <c r="F302" s="27">
        <f>F303</f>
        <v>3841.6</v>
      </c>
      <c r="G302" s="152"/>
    </row>
    <row r="303" spans="1:7" x14ac:dyDescent="0.25">
      <c r="A303" s="273" t="s">
        <v>68</v>
      </c>
      <c r="B303" s="26" t="s">
        <v>337</v>
      </c>
      <c r="C303" s="525" t="s">
        <v>128</v>
      </c>
      <c r="D303" s="27">
        <f>'Функц. 2025-2027'!F492</f>
        <v>7023.2</v>
      </c>
      <c r="E303" s="27">
        <f>'Функц. 2025-2027'!H492</f>
        <v>3841.6</v>
      </c>
      <c r="F303" s="27">
        <f>'Функц. 2025-2027'!J492</f>
        <v>3841.6</v>
      </c>
      <c r="G303" s="152"/>
    </row>
    <row r="304" spans="1:7" x14ac:dyDescent="0.25">
      <c r="A304" s="273" t="s">
        <v>120</v>
      </c>
      <c r="B304" s="26" t="s">
        <v>337</v>
      </c>
      <c r="C304" s="525" t="s">
        <v>37</v>
      </c>
      <c r="D304" s="27">
        <f>D305</f>
        <v>696.3</v>
      </c>
      <c r="E304" s="27">
        <f>E305</f>
        <v>899.4</v>
      </c>
      <c r="F304" s="27">
        <f>F305</f>
        <v>899.4</v>
      </c>
      <c r="G304" s="152"/>
    </row>
    <row r="305" spans="1:7" x14ac:dyDescent="0.25">
      <c r="A305" s="273" t="s">
        <v>52</v>
      </c>
      <c r="B305" s="26" t="s">
        <v>337</v>
      </c>
      <c r="C305" s="525" t="s">
        <v>65</v>
      </c>
      <c r="D305" s="31">
        <f>'Функц. 2025-2027'!F494</f>
        <v>696.3</v>
      </c>
      <c r="E305" s="31">
        <f>'Функц. 2025-2027'!H494</f>
        <v>899.4</v>
      </c>
      <c r="F305" s="31">
        <f>'Функц. 2025-2027'!J494</f>
        <v>899.4</v>
      </c>
      <c r="G305" s="152"/>
    </row>
    <row r="306" spans="1:7" s="519" customFormat="1" x14ac:dyDescent="0.25">
      <c r="A306" s="451" t="s">
        <v>42</v>
      </c>
      <c r="B306" s="541" t="s">
        <v>337</v>
      </c>
      <c r="C306" s="473" t="s">
        <v>346</v>
      </c>
      <c r="D306" s="31">
        <f>D307</f>
        <v>1.5</v>
      </c>
      <c r="E306" s="31">
        <f t="shared" ref="E306:F306" si="106">E307</f>
        <v>0</v>
      </c>
      <c r="F306" s="31">
        <f t="shared" si="106"/>
        <v>0</v>
      </c>
      <c r="G306" s="520"/>
    </row>
    <row r="307" spans="1:7" s="519" customFormat="1" x14ac:dyDescent="0.25">
      <c r="A307" s="451" t="s">
        <v>57</v>
      </c>
      <c r="B307" s="541" t="s">
        <v>337</v>
      </c>
      <c r="C307" s="473" t="s">
        <v>821</v>
      </c>
      <c r="D307" s="31">
        <f>'Функц. 2025-2027'!F496</f>
        <v>1.5</v>
      </c>
      <c r="E307" s="31">
        <f>'Функц. 2025-2027'!H496</f>
        <v>0</v>
      </c>
      <c r="F307" s="31">
        <f>'Функц. 2025-2027'!J496</f>
        <v>0</v>
      </c>
      <c r="G307" s="520"/>
    </row>
    <row r="308" spans="1:7" s="177" customFormat="1" ht="47.25" x14ac:dyDescent="0.25">
      <c r="A308" s="523" t="s">
        <v>359</v>
      </c>
      <c r="B308" s="26" t="s">
        <v>358</v>
      </c>
      <c r="C308" s="444"/>
      <c r="D308" s="31">
        <f t="shared" ref="D308:F309" si="107">D309</f>
        <v>377</v>
      </c>
      <c r="E308" s="31">
        <f t="shared" si="107"/>
        <v>377</v>
      </c>
      <c r="F308" s="31">
        <f t="shared" si="107"/>
        <v>377</v>
      </c>
      <c r="G308" s="152"/>
    </row>
    <row r="309" spans="1:7" s="177" customFormat="1" x14ac:dyDescent="0.25">
      <c r="A309" s="273" t="s">
        <v>120</v>
      </c>
      <c r="B309" s="26" t="s">
        <v>358</v>
      </c>
      <c r="C309" s="444">
        <v>200</v>
      </c>
      <c r="D309" s="31">
        <f t="shared" si="107"/>
        <v>377</v>
      </c>
      <c r="E309" s="31">
        <f t="shared" si="107"/>
        <v>377</v>
      </c>
      <c r="F309" s="31">
        <f t="shared" si="107"/>
        <v>377</v>
      </c>
      <c r="G309" s="152"/>
    </row>
    <row r="310" spans="1:7" s="177" customFormat="1" x14ac:dyDescent="0.25">
      <c r="A310" s="273" t="s">
        <v>52</v>
      </c>
      <c r="B310" s="26" t="s">
        <v>358</v>
      </c>
      <c r="C310" s="444">
        <v>240</v>
      </c>
      <c r="D310" s="31">
        <f>'Функц. 2025-2027'!F390</f>
        <v>377</v>
      </c>
      <c r="E310" s="31">
        <f>'Функц. 2025-2027'!H390</f>
        <v>377</v>
      </c>
      <c r="F310" s="31">
        <f>'Функц. 2025-2027'!J390</f>
        <v>377</v>
      </c>
      <c r="G310" s="152"/>
    </row>
    <row r="311" spans="1:7" s="134" customFormat="1" ht="31.5" x14ac:dyDescent="0.25">
      <c r="A311" s="457" t="s">
        <v>720</v>
      </c>
      <c r="B311" s="156" t="s">
        <v>107</v>
      </c>
      <c r="C311" s="525"/>
      <c r="D311" s="27">
        <f>D312+D316</f>
        <v>467</v>
      </c>
      <c r="E311" s="27">
        <f>E312+E316</f>
        <v>567</v>
      </c>
      <c r="F311" s="27">
        <f>F312+F316</f>
        <v>567</v>
      </c>
      <c r="G311" s="152"/>
    </row>
    <row r="312" spans="1:7" s="134" customFormat="1" ht="31.5" x14ac:dyDescent="0.25">
      <c r="A312" s="277" t="s">
        <v>721</v>
      </c>
      <c r="B312" s="156" t="s">
        <v>171</v>
      </c>
      <c r="C312" s="525"/>
      <c r="D312" s="27">
        <f>D313</f>
        <v>340</v>
      </c>
      <c r="E312" s="27">
        <f>E313</f>
        <v>340</v>
      </c>
      <c r="F312" s="27">
        <f>F313</f>
        <v>340</v>
      </c>
      <c r="G312" s="152"/>
    </row>
    <row r="313" spans="1:7" s="134" customFormat="1" ht="33.75" customHeight="1" x14ac:dyDescent="0.25">
      <c r="A313" s="277" t="s">
        <v>751</v>
      </c>
      <c r="B313" s="156" t="s">
        <v>554</v>
      </c>
      <c r="C313" s="525"/>
      <c r="D313" s="27">
        <f>D314</f>
        <v>340</v>
      </c>
      <c r="E313" s="27">
        <f t="shared" ref="D313:F314" si="108">E314</f>
        <v>340</v>
      </c>
      <c r="F313" s="27">
        <f t="shared" si="108"/>
        <v>340</v>
      </c>
      <c r="G313" s="152"/>
    </row>
    <row r="314" spans="1:7" s="134" customFormat="1" x14ac:dyDescent="0.25">
      <c r="A314" s="393" t="s">
        <v>120</v>
      </c>
      <c r="B314" s="156" t="s">
        <v>554</v>
      </c>
      <c r="C314" s="603" t="s">
        <v>37</v>
      </c>
      <c r="D314" s="27">
        <f t="shared" si="108"/>
        <v>340</v>
      </c>
      <c r="E314" s="27">
        <f t="shared" si="108"/>
        <v>340</v>
      </c>
      <c r="F314" s="27">
        <f t="shared" si="108"/>
        <v>340</v>
      </c>
      <c r="G314" s="152"/>
    </row>
    <row r="315" spans="1:7" s="134" customFormat="1" x14ac:dyDescent="0.25">
      <c r="A315" s="393" t="s">
        <v>52</v>
      </c>
      <c r="B315" s="156" t="s">
        <v>554</v>
      </c>
      <c r="C315" s="603" t="s">
        <v>65</v>
      </c>
      <c r="D315" s="27">
        <f>'Функц. 2025-2027'!F260</f>
        <v>340</v>
      </c>
      <c r="E315" s="27">
        <f>'Функц. 2025-2027'!H260</f>
        <v>340</v>
      </c>
      <c r="F315" s="27">
        <f>'Функц. 2025-2027'!J260</f>
        <v>340</v>
      </c>
      <c r="G315" s="152"/>
    </row>
    <row r="316" spans="1:7" s="134" customFormat="1" ht="47.25" x14ac:dyDescent="0.25">
      <c r="A316" s="451" t="s">
        <v>723</v>
      </c>
      <c r="B316" s="156" t="s">
        <v>555</v>
      </c>
      <c r="C316" s="525"/>
      <c r="D316" s="27">
        <f>D317</f>
        <v>127</v>
      </c>
      <c r="E316" s="27">
        <f t="shared" ref="E316:F318" si="109">E317</f>
        <v>227</v>
      </c>
      <c r="F316" s="27">
        <f t="shared" si="109"/>
        <v>227</v>
      </c>
      <c r="G316" s="152"/>
    </row>
    <row r="317" spans="1:7" s="134" customFormat="1" ht="33.75" customHeight="1" x14ac:dyDescent="0.25">
      <c r="A317" s="523" t="s">
        <v>751</v>
      </c>
      <c r="B317" s="156" t="s">
        <v>556</v>
      </c>
      <c r="C317" s="525"/>
      <c r="D317" s="27">
        <f>D318+D320</f>
        <v>127</v>
      </c>
      <c r="E317" s="517">
        <f t="shared" ref="E317:F317" si="110">E318+E320</f>
        <v>227</v>
      </c>
      <c r="F317" s="517">
        <f t="shared" si="110"/>
        <v>227</v>
      </c>
      <c r="G317" s="152"/>
    </row>
    <row r="318" spans="1:7" s="134" customFormat="1" x14ac:dyDescent="0.25">
      <c r="A318" s="523" t="s">
        <v>120</v>
      </c>
      <c r="B318" s="156" t="s">
        <v>556</v>
      </c>
      <c r="C318" s="525" t="s">
        <v>37</v>
      </c>
      <c r="D318" s="27">
        <f>D319</f>
        <v>52</v>
      </c>
      <c r="E318" s="27">
        <f t="shared" si="109"/>
        <v>227</v>
      </c>
      <c r="F318" s="27">
        <f t="shared" si="109"/>
        <v>227</v>
      </c>
      <c r="G318" s="152"/>
    </row>
    <row r="319" spans="1:7" s="134" customFormat="1" x14ac:dyDescent="0.25">
      <c r="A319" s="523" t="s">
        <v>52</v>
      </c>
      <c r="B319" s="156" t="s">
        <v>556</v>
      </c>
      <c r="C319" s="525" t="s">
        <v>65</v>
      </c>
      <c r="D319" s="27">
        <f>'Функц. 2025-2027'!F264</f>
        <v>52</v>
      </c>
      <c r="E319" s="27">
        <f>'Функц. 2025-2027'!H264</f>
        <v>227</v>
      </c>
      <c r="F319" s="27">
        <f>'Функц. 2025-2027'!J264</f>
        <v>227</v>
      </c>
      <c r="G319" s="152"/>
    </row>
    <row r="320" spans="1:7" s="513" customFormat="1" ht="31.5" x14ac:dyDescent="0.25">
      <c r="A320" s="523" t="s">
        <v>60</v>
      </c>
      <c r="B320" s="156" t="s">
        <v>556</v>
      </c>
      <c r="C320" s="525" t="s">
        <v>386</v>
      </c>
      <c r="D320" s="517">
        <f>D321</f>
        <v>75</v>
      </c>
      <c r="E320" s="517">
        <f t="shared" ref="E320:F320" si="111">E321</f>
        <v>0</v>
      </c>
      <c r="F320" s="517">
        <f t="shared" si="111"/>
        <v>0</v>
      </c>
      <c r="G320" s="520"/>
    </row>
    <row r="321" spans="1:7" s="513" customFormat="1" x14ac:dyDescent="0.25">
      <c r="A321" s="523" t="s">
        <v>61</v>
      </c>
      <c r="B321" s="156" t="s">
        <v>556</v>
      </c>
      <c r="C321" s="525" t="s">
        <v>387</v>
      </c>
      <c r="D321" s="517">
        <f>'Функц. 2025-2027'!F266</f>
        <v>75</v>
      </c>
      <c r="E321" s="517">
        <f>'Функц. 2025-2027'!H266</f>
        <v>0</v>
      </c>
      <c r="F321" s="517">
        <f>'Функц. 2025-2027'!J266</f>
        <v>0</v>
      </c>
      <c r="G321" s="520"/>
    </row>
    <row r="322" spans="1:7" s="134" customFormat="1" ht="31.5" x14ac:dyDescent="0.25">
      <c r="A322" s="275" t="s">
        <v>582</v>
      </c>
      <c r="B322" s="156" t="s">
        <v>103</v>
      </c>
      <c r="C322" s="407"/>
      <c r="D322" s="27">
        <f>D323+D331+D327</f>
        <v>1278.4000000000001</v>
      </c>
      <c r="E322" s="517">
        <f t="shared" ref="E322:F322" si="112">E323+E331+E327</f>
        <v>1177</v>
      </c>
      <c r="F322" s="517">
        <f t="shared" si="112"/>
        <v>1177</v>
      </c>
      <c r="G322" s="152"/>
    </row>
    <row r="323" spans="1:7" s="134" customFormat="1" ht="63" x14ac:dyDescent="0.25">
      <c r="A323" s="277" t="s">
        <v>584</v>
      </c>
      <c r="B323" s="156" t="s">
        <v>124</v>
      </c>
      <c r="C323" s="407"/>
      <c r="D323" s="27">
        <f t="shared" ref="D323:F325" si="113">D324</f>
        <v>728.4</v>
      </c>
      <c r="E323" s="27">
        <f t="shared" si="113"/>
        <v>727</v>
      </c>
      <c r="F323" s="27">
        <f t="shared" si="113"/>
        <v>727</v>
      </c>
      <c r="G323" s="152"/>
    </row>
    <row r="324" spans="1:7" s="134" customFormat="1" ht="31.5" x14ac:dyDescent="0.25">
      <c r="A324" s="277" t="s">
        <v>174</v>
      </c>
      <c r="B324" s="156" t="s">
        <v>175</v>
      </c>
      <c r="C324" s="407"/>
      <c r="D324" s="27">
        <f t="shared" si="113"/>
        <v>728.4</v>
      </c>
      <c r="E324" s="27">
        <f t="shared" si="113"/>
        <v>727</v>
      </c>
      <c r="F324" s="27">
        <f t="shared" si="113"/>
        <v>727</v>
      </c>
      <c r="G324" s="152"/>
    </row>
    <row r="325" spans="1:7" s="134" customFormat="1" x14ac:dyDescent="0.25">
      <c r="A325" s="273" t="s">
        <v>120</v>
      </c>
      <c r="B325" s="156" t="s">
        <v>175</v>
      </c>
      <c r="C325" s="407">
        <v>200</v>
      </c>
      <c r="D325" s="27">
        <f t="shared" si="113"/>
        <v>728.4</v>
      </c>
      <c r="E325" s="27">
        <f t="shared" si="113"/>
        <v>727</v>
      </c>
      <c r="F325" s="27">
        <f t="shared" si="113"/>
        <v>727</v>
      </c>
      <c r="G325" s="152"/>
    </row>
    <row r="326" spans="1:7" s="134" customFormat="1" x14ac:dyDescent="0.25">
      <c r="A326" s="273" t="s">
        <v>52</v>
      </c>
      <c r="B326" s="156" t="s">
        <v>175</v>
      </c>
      <c r="C326" s="407">
        <v>240</v>
      </c>
      <c r="D326" s="27">
        <f>'Функц. 2025-2027'!F245</f>
        <v>728.4</v>
      </c>
      <c r="E326" s="27">
        <f>'Функц. 2025-2027'!H245</f>
        <v>727</v>
      </c>
      <c r="F326" s="27">
        <f>'Функц. 2025-2027'!J245</f>
        <v>727</v>
      </c>
      <c r="G326" s="152"/>
    </row>
    <row r="327" spans="1:7" s="513" customFormat="1" ht="31.5" x14ac:dyDescent="0.25">
      <c r="A327" s="451" t="s">
        <v>677</v>
      </c>
      <c r="B327" s="612" t="s">
        <v>726</v>
      </c>
      <c r="C327" s="456"/>
      <c r="D327" s="517">
        <f>D328</f>
        <v>100</v>
      </c>
      <c r="E327" s="517">
        <f t="shared" ref="E327:F329" si="114">E328</f>
        <v>0</v>
      </c>
      <c r="F327" s="517">
        <f t="shared" si="114"/>
        <v>0</v>
      </c>
      <c r="G327" s="520"/>
    </row>
    <row r="328" spans="1:7" s="513" customFormat="1" ht="31.5" x14ac:dyDescent="0.25">
      <c r="A328" s="451" t="s">
        <v>678</v>
      </c>
      <c r="B328" s="612" t="s">
        <v>679</v>
      </c>
      <c r="C328" s="456"/>
      <c r="D328" s="517">
        <f>D329</f>
        <v>100</v>
      </c>
      <c r="E328" s="517">
        <f t="shared" si="114"/>
        <v>0</v>
      </c>
      <c r="F328" s="517">
        <f t="shared" si="114"/>
        <v>0</v>
      </c>
      <c r="G328" s="520"/>
    </row>
    <row r="329" spans="1:7" s="513" customFormat="1" x14ac:dyDescent="0.25">
      <c r="A329" s="451" t="s">
        <v>120</v>
      </c>
      <c r="B329" s="612" t="s">
        <v>679</v>
      </c>
      <c r="C329" s="456">
        <v>200</v>
      </c>
      <c r="D329" s="517">
        <f>D330</f>
        <v>100</v>
      </c>
      <c r="E329" s="517">
        <f t="shared" si="114"/>
        <v>0</v>
      </c>
      <c r="F329" s="517">
        <f t="shared" si="114"/>
        <v>0</v>
      </c>
      <c r="G329" s="520"/>
    </row>
    <row r="330" spans="1:7" s="513" customFormat="1" x14ac:dyDescent="0.25">
      <c r="A330" s="523" t="s">
        <v>52</v>
      </c>
      <c r="B330" s="612" t="s">
        <v>679</v>
      </c>
      <c r="C330" s="456">
        <v>240</v>
      </c>
      <c r="D330" s="517">
        <f>'Функц. 2025-2027'!F249</f>
        <v>100</v>
      </c>
      <c r="E330" s="517">
        <f>'Функц. 2025-2027'!H249</f>
        <v>0</v>
      </c>
      <c r="F330" s="517">
        <f>'Функц. 2025-2027'!J249</f>
        <v>0</v>
      </c>
      <c r="G330" s="520"/>
    </row>
    <row r="331" spans="1:7" s="134" customFormat="1" ht="47.25" x14ac:dyDescent="0.25">
      <c r="A331" s="257" t="s">
        <v>558</v>
      </c>
      <c r="B331" s="156" t="s">
        <v>557</v>
      </c>
      <c r="C331" s="525"/>
      <c r="D331" s="27">
        <f t="shared" ref="D331:F333" si="115">D332</f>
        <v>450</v>
      </c>
      <c r="E331" s="27">
        <f t="shared" si="115"/>
        <v>450</v>
      </c>
      <c r="F331" s="27">
        <f t="shared" si="115"/>
        <v>450</v>
      </c>
      <c r="G331" s="152"/>
    </row>
    <row r="332" spans="1:7" s="134" customFormat="1" ht="31.5" x14ac:dyDescent="0.25">
      <c r="A332" s="258" t="s">
        <v>559</v>
      </c>
      <c r="B332" s="156" t="s">
        <v>560</v>
      </c>
      <c r="C332" s="525"/>
      <c r="D332" s="27">
        <f t="shared" si="115"/>
        <v>450</v>
      </c>
      <c r="E332" s="27">
        <f t="shared" si="115"/>
        <v>450</v>
      </c>
      <c r="F332" s="27">
        <f t="shared" si="115"/>
        <v>450</v>
      </c>
      <c r="G332" s="152"/>
    </row>
    <row r="333" spans="1:7" s="134" customFormat="1" x14ac:dyDescent="0.25">
      <c r="A333" s="523" t="s">
        <v>120</v>
      </c>
      <c r="B333" s="156" t="s">
        <v>560</v>
      </c>
      <c r="C333" s="525" t="s">
        <v>37</v>
      </c>
      <c r="D333" s="27">
        <f t="shared" si="115"/>
        <v>450</v>
      </c>
      <c r="E333" s="27">
        <f t="shared" si="115"/>
        <v>450</v>
      </c>
      <c r="F333" s="27">
        <f t="shared" si="115"/>
        <v>450</v>
      </c>
      <c r="G333" s="152"/>
    </row>
    <row r="334" spans="1:7" s="134" customFormat="1" x14ac:dyDescent="0.25">
      <c r="A334" s="523" t="s">
        <v>52</v>
      </c>
      <c r="B334" s="156" t="s">
        <v>560</v>
      </c>
      <c r="C334" s="525" t="s">
        <v>65</v>
      </c>
      <c r="D334" s="27">
        <f>'Функц. 2025-2027'!F253</f>
        <v>450</v>
      </c>
      <c r="E334" s="27">
        <f>'Функц. 2025-2027'!H253</f>
        <v>450</v>
      </c>
      <c r="F334" s="27">
        <f>'Функц. 2025-2027'!J253</f>
        <v>450</v>
      </c>
      <c r="G334" s="152"/>
    </row>
    <row r="335" spans="1:7" s="134" customFormat="1" ht="31.5" x14ac:dyDescent="0.25">
      <c r="A335" s="255" t="s">
        <v>356</v>
      </c>
      <c r="B335" s="156" t="s">
        <v>104</v>
      </c>
      <c r="C335" s="444"/>
      <c r="D335" s="27">
        <f t="shared" ref="D335:F338" si="116">D336</f>
        <v>670.6</v>
      </c>
      <c r="E335" s="27">
        <f t="shared" si="116"/>
        <v>694</v>
      </c>
      <c r="F335" s="27">
        <f t="shared" si="116"/>
        <v>694</v>
      </c>
      <c r="G335" s="152"/>
    </row>
    <row r="336" spans="1:7" s="134" customFormat="1" ht="31.5" x14ac:dyDescent="0.25">
      <c r="A336" s="277" t="s">
        <v>561</v>
      </c>
      <c r="B336" s="156" t="s">
        <v>125</v>
      </c>
      <c r="C336" s="525"/>
      <c r="D336" s="27">
        <f>D337+D340</f>
        <v>670.6</v>
      </c>
      <c r="E336" s="517">
        <f t="shared" ref="E336:F336" si="117">E337+E340</f>
        <v>694</v>
      </c>
      <c r="F336" s="517">
        <f t="shared" si="117"/>
        <v>694</v>
      </c>
      <c r="G336" s="152"/>
    </row>
    <row r="337" spans="1:7" s="134" customFormat="1" ht="31.5" x14ac:dyDescent="0.25">
      <c r="A337" s="273" t="s">
        <v>752</v>
      </c>
      <c r="B337" s="156" t="s">
        <v>173</v>
      </c>
      <c r="C337" s="444"/>
      <c r="D337" s="27">
        <f>D338</f>
        <v>332.1</v>
      </c>
      <c r="E337" s="517">
        <f t="shared" si="116"/>
        <v>355.5</v>
      </c>
      <c r="F337" s="517">
        <f t="shared" si="116"/>
        <v>435</v>
      </c>
      <c r="G337" s="152"/>
    </row>
    <row r="338" spans="1:7" s="134" customFormat="1" x14ac:dyDescent="0.25">
      <c r="A338" s="273" t="s">
        <v>120</v>
      </c>
      <c r="B338" s="156" t="s">
        <v>173</v>
      </c>
      <c r="C338" s="525" t="s">
        <v>37</v>
      </c>
      <c r="D338" s="27">
        <f t="shared" si="116"/>
        <v>332.1</v>
      </c>
      <c r="E338" s="27">
        <f t="shared" si="116"/>
        <v>355.5</v>
      </c>
      <c r="F338" s="27">
        <f t="shared" si="116"/>
        <v>435</v>
      </c>
      <c r="G338" s="152"/>
    </row>
    <row r="339" spans="1:7" s="134" customFormat="1" x14ac:dyDescent="0.25">
      <c r="A339" s="273" t="s">
        <v>52</v>
      </c>
      <c r="B339" s="156" t="s">
        <v>173</v>
      </c>
      <c r="C339" s="525" t="s">
        <v>65</v>
      </c>
      <c r="D339" s="27">
        <f>'Функц. 2025-2027'!F271</f>
        <v>332.1</v>
      </c>
      <c r="E339" s="27">
        <f>'Функц. 2025-2027'!H271</f>
        <v>355.5</v>
      </c>
      <c r="F339" s="27">
        <f>'Функц. 2025-2027'!J271</f>
        <v>435</v>
      </c>
      <c r="G339" s="152"/>
    </row>
    <row r="340" spans="1:7" s="513" customFormat="1" ht="31.5" x14ac:dyDescent="0.25">
      <c r="A340" s="523" t="s">
        <v>60</v>
      </c>
      <c r="B340" s="156" t="s">
        <v>173</v>
      </c>
      <c r="C340" s="525" t="s">
        <v>386</v>
      </c>
      <c r="D340" s="517">
        <f>D341</f>
        <v>338.5</v>
      </c>
      <c r="E340" s="517">
        <f t="shared" ref="E340:F340" si="118">E341</f>
        <v>338.5</v>
      </c>
      <c r="F340" s="517">
        <f t="shared" si="118"/>
        <v>259</v>
      </c>
      <c r="G340" s="520"/>
    </row>
    <row r="341" spans="1:7" s="513" customFormat="1" x14ac:dyDescent="0.25">
      <c r="A341" s="523" t="s">
        <v>61</v>
      </c>
      <c r="B341" s="156" t="s">
        <v>173</v>
      </c>
      <c r="C341" s="525" t="s">
        <v>387</v>
      </c>
      <c r="D341" s="517">
        <f>'Функц. 2025-2027'!F273</f>
        <v>338.5</v>
      </c>
      <c r="E341" s="517">
        <f>'Функц. 2025-2027'!H273</f>
        <v>338.5</v>
      </c>
      <c r="F341" s="517">
        <f>'Функц. 2025-2027'!J273</f>
        <v>259</v>
      </c>
      <c r="G341" s="520"/>
    </row>
    <row r="342" spans="1:7" s="134" customFormat="1" ht="31.5" x14ac:dyDescent="0.25">
      <c r="A342" s="523" t="s">
        <v>562</v>
      </c>
      <c r="B342" s="156" t="s">
        <v>108</v>
      </c>
      <c r="C342" s="525"/>
      <c r="D342" s="27">
        <f t="shared" ref="D342:F343" si="119">D343</f>
        <v>870</v>
      </c>
      <c r="E342" s="27">
        <f t="shared" si="119"/>
        <v>770</v>
      </c>
      <c r="F342" s="27">
        <f t="shared" si="119"/>
        <v>770</v>
      </c>
      <c r="G342" s="152"/>
    </row>
    <row r="343" spans="1:7" s="134" customFormat="1" ht="31.5" x14ac:dyDescent="0.25">
      <c r="A343" s="523" t="s">
        <v>563</v>
      </c>
      <c r="B343" s="156" t="s">
        <v>564</v>
      </c>
      <c r="C343" s="525"/>
      <c r="D343" s="27">
        <f t="shared" si="119"/>
        <v>870</v>
      </c>
      <c r="E343" s="27">
        <f t="shared" si="119"/>
        <v>770</v>
      </c>
      <c r="F343" s="27">
        <f t="shared" si="119"/>
        <v>770</v>
      </c>
      <c r="G343" s="152"/>
    </row>
    <row r="344" spans="1:7" s="134" customFormat="1" ht="31.5" x14ac:dyDescent="0.25">
      <c r="A344" s="523" t="s">
        <v>172</v>
      </c>
      <c r="B344" s="156" t="s">
        <v>565</v>
      </c>
      <c r="C344" s="525"/>
      <c r="D344" s="27">
        <f>D347+D345</f>
        <v>870</v>
      </c>
      <c r="E344" s="517">
        <f t="shared" ref="E344:F344" si="120">E347+E345</f>
        <v>770</v>
      </c>
      <c r="F344" s="517">
        <f t="shared" si="120"/>
        <v>770</v>
      </c>
      <c r="G344" s="152"/>
    </row>
    <row r="345" spans="1:7" s="513" customFormat="1" x14ac:dyDescent="0.25">
      <c r="A345" s="451" t="s">
        <v>120</v>
      </c>
      <c r="B345" s="156" t="s">
        <v>565</v>
      </c>
      <c r="C345" s="525" t="s">
        <v>37</v>
      </c>
      <c r="D345" s="517">
        <f>D346</f>
        <v>100</v>
      </c>
      <c r="E345" s="517">
        <f t="shared" ref="E345:F345" si="121">E346</f>
        <v>0</v>
      </c>
      <c r="F345" s="517">
        <f t="shared" si="121"/>
        <v>0</v>
      </c>
      <c r="G345" s="520"/>
    </row>
    <row r="346" spans="1:7" s="513" customFormat="1" x14ac:dyDescent="0.25">
      <c r="A346" s="451" t="s">
        <v>52</v>
      </c>
      <c r="B346" s="156" t="s">
        <v>565</v>
      </c>
      <c r="C346" s="525" t="s">
        <v>65</v>
      </c>
      <c r="D346" s="517">
        <f>'Функц. 2025-2027'!F278</f>
        <v>100</v>
      </c>
      <c r="E346" s="517">
        <f>'Функц. 2025-2027'!H278</f>
        <v>0</v>
      </c>
      <c r="F346" s="517">
        <f>'Функц. 2025-2027'!J278</f>
        <v>0</v>
      </c>
      <c r="G346" s="520"/>
    </row>
    <row r="347" spans="1:7" s="134" customFormat="1" ht="31.5" x14ac:dyDescent="0.25">
      <c r="A347" s="523" t="s">
        <v>60</v>
      </c>
      <c r="B347" s="156" t="s">
        <v>565</v>
      </c>
      <c r="C347" s="525" t="s">
        <v>386</v>
      </c>
      <c r="D347" s="27">
        <f>D348</f>
        <v>770</v>
      </c>
      <c r="E347" s="27">
        <f>E348</f>
        <v>770</v>
      </c>
      <c r="F347" s="27">
        <f>F348</f>
        <v>770</v>
      </c>
      <c r="G347" s="152"/>
    </row>
    <row r="348" spans="1:7" s="134" customFormat="1" x14ac:dyDescent="0.25">
      <c r="A348" s="523" t="s">
        <v>61</v>
      </c>
      <c r="B348" s="156" t="s">
        <v>565</v>
      </c>
      <c r="C348" s="525" t="s">
        <v>387</v>
      </c>
      <c r="D348" s="27">
        <f>'Функц. 2025-2027'!F280</f>
        <v>770</v>
      </c>
      <c r="E348" s="27">
        <f>'Функц. 2025-2027'!H280</f>
        <v>770</v>
      </c>
      <c r="F348" s="27">
        <f>'Функц. 2025-2027'!J280</f>
        <v>770</v>
      </c>
      <c r="G348" s="152"/>
    </row>
    <row r="349" spans="1:7" s="134" customFormat="1" x14ac:dyDescent="0.25">
      <c r="A349" s="277" t="s">
        <v>48</v>
      </c>
      <c r="B349" s="156" t="s">
        <v>105</v>
      </c>
      <c r="C349" s="525"/>
      <c r="D349" s="27">
        <f t="shared" ref="D349:F350" si="122">D350</f>
        <v>27231.8</v>
      </c>
      <c r="E349" s="27">
        <f t="shared" si="122"/>
        <v>9650</v>
      </c>
      <c r="F349" s="27">
        <f t="shared" si="122"/>
        <v>9686</v>
      </c>
      <c r="G349" s="152"/>
    </row>
    <row r="350" spans="1:7" s="134" customFormat="1" ht="31.5" x14ac:dyDescent="0.25">
      <c r="A350" s="277" t="s">
        <v>269</v>
      </c>
      <c r="B350" s="156" t="s">
        <v>350</v>
      </c>
      <c r="C350" s="525"/>
      <c r="D350" s="27">
        <f t="shared" si="122"/>
        <v>27231.8</v>
      </c>
      <c r="E350" s="27">
        <f t="shared" si="122"/>
        <v>9650</v>
      </c>
      <c r="F350" s="27">
        <f t="shared" si="122"/>
        <v>9686</v>
      </c>
      <c r="G350" s="152"/>
    </row>
    <row r="351" spans="1:7" s="134" customFormat="1" x14ac:dyDescent="0.25">
      <c r="A351" s="277" t="s">
        <v>176</v>
      </c>
      <c r="B351" s="156" t="s">
        <v>177</v>
      </c>
      <c r="C351" s="525"/>
      <c r="D351" s="27">
        <f>D352+D354</f>
        <v>27231.8</v>
      </c>
      <c r="E351" s="27">
        <f>E352+E354</f>
        <v>9650</v>
      </c>
      <c r="F351" s="27">
        <f>F352+F354</f>
        <v>9686</v>
      </c>
      <c r="G351" s="152"/>
    </row>
    <row r="352" spans="1:7" s="134" customFormat="1" ht="47.25" x14ac:dyDescent="0.25">
      <c r="A352" s="273" t="s">
        <v>150</v>
      </c>
      <c r="B352" s="156" t="s">
        <v>177</v>
      </c>
      <c r="C352" s="525" t="s">
        <v>127</v>
      </c>
      <c r="D352" s="27">
        <f>D353</f>
        <v>25165.599999999999</v>
      </c>
      <c r="E352" s="27">
        <f>E353</f>
        <v>7883.8</v>
      </c>
      <c r="F352" s="27">
        <f>F353</f>
        <v>7919.8</v>
      </c>
      <c r="G352" s="152"/>
    </row>
    <row r="353" spans="1:7" s="134" customFormat="1" x14ac:dyDescent="0.25">
      <c r="A353" s="273" t="s">
        <v>68</v>
      </c>
      <c r="B353" s="156" t="s">
        <v>177</v>
      </c>
      <c r="C353" s="525" t="s">
        <v>128</v>
      </c>
      <c r="D353" s="27">
        <f>'Функц. 2025-2027'!F285</f>
        <v>25165.599999999999</v>
      </c>
      <c r="E353" s="27">
        <f>'Функц. 2025-2027'!H285</f>
        <v>7883.8</v>
      </c>
      <c r="F353" s="27">
        <f>'Функц. 2025-2027'!J285</f>
        <v>7919.8</v>
      </c>
      <c r="G353" s="152"/>
    </row>
    <row r="354" spans="1:7" s="134" customFormat="1" x14ac:dyDescent="0.25">
      <c r="A354" s="523" t="s">
        <v>120</v>
      </c>
      <c r="B354" s="156" t="s">
        <v>177</v>
      </c>
      <c r="C354" s="430" t="s">
        <v>37</v>
      </c>
      <c r="D354" s="27">
        <f>D355</f>
        <v>2066.1999999999998</v>
      </c>
      <c r="E354" s="27">
        <f>E355</f>
        <v>1766.2</v>
      </c>
      <c r="F354" s="27">
        <f>F355</f>
        <v>1766.2</v>
      </c>
      <c r="G354" s="152"/>
    </row>
    <row r="355" spans="1:7" s="134" customFormat="1" x14ac:dyDescent="0.25">
      <c r="A355" s="523" t="s">
        <v>52</v>
      </c>
      <c r="B355" s="156" t="s">
        <v>177</v>
      </c>
      <c r="C355" s="430" t="s">
        <v>65</v>
      </c>
      <c r="D355" s="27">
        <f>'Функц. 2025-2027'!F287</f>
        <v>2066.1999999999998</v>
      </c>
      <c r="E355" s="27">
        <f>'Функц. 2025-2027'!H287</f>
        <v>1766.2</v>
      </c>
      <c r="F355" s="27">
        <f>'Функц. 2025-2027'!J287</f>
        <v>1766.2</v>
      </c>
      <c r="G355" s="152"/>
    </row>
    <row r="356" spans="1:7" s="134" customFormat="1" x14ac:dyDescent="0.25">
      <c r="A356" s="395" t="s">
        <v>181</v>
      </c>
      <c r="B356" s="614" t="s">
        <v>116</v>
      </c>
      <c r="C356" s="600"/>
      <c r="D356" s="30">
        <f>D357+D365+D370</f>
        <v>30960.3</v>
      </c>
      <c r="E356" s="518">
        <f>E357+E365+E370</f>
        <v>32720.400000000001</v>
      </c>
      <c r="F356" s="518">
        <f>F357+F365+F370</f>
        <v>30120.5</v>
      </c>
      <c r="G356" s="152"/>
    </row>
    <row r="357" spans="1:7" x14ac:dyDescent="0.25">
      <c r="A357" s="275" t="s">
        <v>180</v>
      </c>
      <c r="B357" s="156" t="s">
        <v>143</v>
      </c>
      <c r="C357" s="444"/>
      <c r="D357" s="27">
        <f>D358</f>
        <v>16279.3</v>
      </c>
      <c r="E357" s="27">
        <f>E358</f>
        <v>29730.400000000001</v>
      </c>
      <c r="F357" s="27">
        <f>F358</f>
        <v>30120.5</v>
      </c>
      <c r="G357" s="152"/>
    </row>
    <row r="358" spans="1:7" ht="47.25" x14ac:dyDescent="0.25">
      <c r="A358" s="275" t="s">
        <v>424</v>
      </c>
      <c r="B358" s="156" t="s">
        <v>142</v>
      </c>
      <c r="C358" s="444"/>
      <c r="D358" s="27">
        <f>D362+D359</f>
        <v>16279.3</v>
      </c>
      <c r="E358" s="517">
        <f t="shared" ref="E358:F358" si="123">E362+E359</f>
        <v>29730.400000000001</v>
      </c>
      <c r="F358" s="517">
        <f t="shared" si="123"/>
        <v>30120.5</v>
      </c>
      <c r="G358" s="152"/>
    </row>
    <row r="359" spans="1:7" s="519" customFormat="1" ht="31.5" x14ac:dyDescent="0.25">
      <c r="A359" s="457" t="s">
        <v>831</v>
      </c>
      <c r="B359" s="542" t="s">
        <v>832</v>
      </c>
      <c r="C359" s="454"/>
      <c r="D359" s="517">
        <f>D360</f>
        <v>561.29999999999995</v>
      </c>
      <c r="E359" s="517">
        <f t="shared" ref="E359:F359" si="124">E360</f>
        <v>0</v>
      </c>
      <c r="F359" s="517">
        <f t="shared" si="124"/>
        <v>0</v>
      </c>
      <c r="G359" s="520"/>
    </row>
    <row r="360" spans="1:7" s="519" customFormat="1" x14ac:dyDescent="0.25">
      <c r="A360" s="451" t="s">
        <v>97</v>
      </c>
      <c r="B360" s="542" t="s">
        <v>832</v>
      </c>
      <c r="C360" s="454">
        <v>300</v>
      </c>
      <c r="D360" s="517">
        <f>D361</f>
        <v>561.29999999999995</v>
      </c>
      <c r="E360" s="517">
        <f t="shared" ref="E360:F360" si="125">E361</f>
        <v>0</v>
      </c>
      <c r="F360" s="517">
        <f t="shared" si="125"/>
        <v>0</v>
      </c>
      <c r="G360" s="520"/>
    </row>
    <row r="361" spans="1:7" s="519" customFormat="1" x14ac:dyDescent="0.25">
      <c r="A361" s="451" t="s">
        <v>24</v>
      </c>
      <c r="B361" s="542" t="s">
        <v>832</v>
      </c>
      <c r="C361" s="454">
        <v>320</v>
      </c>
      <c r="D361" s="517">
        <f>'Функц. 2025-2027'!F934</f>
        <v>561.29999999999995</v>
      </c>
      <c r="E361" s="517">
        <f>'Функц. 2025-2027'!H934</f>
        <v>0</v>
      </c>
      <c r="F361" s="517">
        <f>'Функц. 2025-2027'!J934</f>
        <v>0</v>
      </c>
      <c r="G361" s="520"/>
    </row>
    <row r="362" spans="1:7" x14ac:dyDescent="0.25">
      <c r="A362" s="275" t="s">
        <v>178</v>
      </c>
      <c r="B362" s="156" t="s">
        <v>179</v>
      </c>
      <c r="C362" s="444"/>
      <c r="D362" s="27">
        <f t="shared" ref="D362:F363" si="126">D363</f>
        <v>15718</v>
      </c>
      <c r="E362" s="27">
        <f t="shared" si="126"/>
        <v>29730.400000000001</v>
      </c>
      <c r="F362" s="27">
        <f t="shared" si="126"/>
        <v>30120.5</v>
      </c>
      <c r="G362" s="152"/>
    </row>
    <row r="363" spans="1:7" x14ac:dyDescent="0.25">
      <c r="A363" s="273" t="s">
        <v>97</v>
      </c>
      <c r="B363" s="156" t="s">
        <v>179</v>
      </c>
      <c r="C363" s="444">
        <v>300</v>
      </c>
      <c r="D363" s="27">
        <f t="shared" si="126"/>
        <v>15718</v>
      </c>
      <c r="E363" s="27">
        <f t="shared" si="126"/>
        <v>29730.400000000001</v>
      </c>
      <c r="F363" s="27">
        <f t="shared" si="126"/>
        <v>30120.5</v>
      </c>
      <c r="G363" s="152"/>
    </row>
    <row r="364" spans="1:7" x14ac:dyDescent="0.25">
      <c r="A364" s="273" t="s">
        <v>24</v>
      </c>
      <c r="B364" s="156" t="s">
        <v>179</v>
      </c>
      <c r="C364" s="444">
        <v>320</v>
      </c>
      <c r="D364" s="27">
        <f>'Функц. 2025-2027'!F937</f>
        <v>15718</v>
      </c>
      <c r="E364" s="27">
        <f>'Функц. 2025-2027'!H937</f>
        <v>29730.400000000001</v>
      </c>
      <c r="F364" s="27">
        <f>'Функц. 2025-2027'!J937</f>
        <v>30120.5</v>
      </c>
      <c r="G364" s="152"/>
    </row>
    <row r="365" spans="1:7" ht="31.5" x14ac:dyDescent="0.25">
      <c r="A365" s="376" t="s">
        <v>438</v>
      </c>
      <c r="B365" s="156" t="s">
        <v>146</v>
      </c>
      <c r="C365" s="604"/>
      <c r="D365" s="27">
        <f>D366</f>
        <v>14681</v>
      </c>
      <c r="E365" s="27">
        <f>E366</f>
        <v>0</v>
      </c>
      <c r="F365" s="27">
        <f>F366</f>
        <v>0</v>
      </c>
      <c r="G365" s="152"/>
    </row>
    <row r="366" spans="1:7" ht="47.25" x14ac:dyDescent="0.25">
      <c r="A366" s="376" t="s">
        <v>439</v>
      </c>
      <c r="B366" s="156" t="s">
        <v>145</v>
      </c>
      <c r="C366" s="444"/>
      <c r="D366" s="27">
        <f>D367</f>
        <v>14681</v>
      </c>
      <c r="E366" s="517">
        <f t="shared" ref="E366:F366" si="127">E367</f>
        <v>0</v>
      </c>
      <c r="F366" s="517">
        <f t="shared" si="127"/>
        <v>0</v>
      </c>
      <c r="G366" s="152"/>
    </row>
    <row r="367" spans="1:7" ht="31.5" x14ac:dyDescent="0.25">
      <c r="A367" s="275" t="s">
        <v>616</v>
      </c>
      <c r="B367" s="156" t="s">
        <v>144</v>
      </c>
      <c r="C367" s="444"/>
      <c r="D367" s="27">
        <f t="shared" ref="D367:F368" si="128">D368</f>
        <v>14681</v>
      </c>
      <c r="E367" s="27">
        <f t="shared" si="128"/>
        <v>0</v>
      </c>
      <c r="F367" s="27">
        <f t="shared" si="128"/>
        <v>0</v>
      </c>
      <c r="G367" s="152"/>
    </row>
    <row r="368" spans="1:7" x14ac:dyDescent="0.25">
      <c r="A368" s="398" t="s">
        <v>23</v>
      </c>
      <c r="B368" s="279" t="s">
        <v>144</v>
      </c>
      <c r="C368" s="444">
        <v>400</v>
      </c>
      <c r="D368" s="27">
        <f t="shared" si="128"/>
        <v>14681</v>
      </c>
      <c r="E368" s="27">
        <f t="shared" si="128"/>
        <v>0</v>
      </c>
      <c r="F368" s="27">
        <f t="shared" si="128"/>
        <v>0</v>
      </c>
      <c r="G368" s="152"/>
    </row>
    <row r="369" spans="1:30" x14ac:dyDescent="0.25">
      <c r="A369" s="273" t="s">
        <v>9</v>
      </c>
      <c r="B369" s="279" t="s">
        <v>144</v>
      </c>
      <c r="C369" s="444">
        <v>410</v>
      </c>
      <c r="D369" s="27">
        <f>'Функц. 2025-2027'!F942</f>
        <v>14681</v>
      </c>
      <c r="E369" s="27">
        <f>'Функц. 2025-2027'!H942</f>
        <v>0</v>
      </c>
      <c r="F369" s="27">
        <f>'Функц. 2025-2027'!J942</f>
        <v>0</v>
      </c>
      <c r="G369" s="152"/>
    </row>
    <row r="370" spans="1:30" s="519" customFormat="1" ht="31.5" x14ac:dyDescent="0.25">
      <c r="A370" s="451" t="s">
        <v>670</v>
      </c>
      <c r="B370" s="612" t="s">
        <v>671</v>
      </c>
      <c r="C370" s="460"/>
      <c r="D370" s="517">
        <f>D371</f>
        <v>0</v>
      </c>
      <c r="E370" s="517">
        <f t="shared" ref="E370:F373" si="129">E371</f>
        <v>2990</v>
      </c>
      <c r="F370" s="517">
        <f t="shared" si="129"/>
        <v>0</v>
      </c>
      <c r="G370" s="520"/>
    </row>
    <row r="371" spans="1:30" s="519" customFormat="1" ht="47.25" x14ac:dyDescent="0.25">
      <c r="A371" s="451" t="s">
        <v>673</v>
      </c>
      <c r="B371" s="612" t="s">
        <v>672</v>
      </c>
      <c r="C371" s="460"/>
      <c r="D371" s="517">
        <f>D372</f>
        <v>0</v>
      </c>
      <c r="E371" s="517">
        <f t="shared" si="129"/>
        <v>2990</v>
      </c>
      <c r="F371" s="517">
        <f t="shared" si="129"/>
        <v>0</v>
      </c>
      <c r="G371" s="520"/>
    </row>
    <row r="372" spans="1:30" s="519" customFormat="1" ht="47.25" x14ac:dyDescent="0.25">
      <c r="A372" s="451" t="s">
        <v>675</v>
      </c>
      <c r="B372" s="612" t="s">
        <v>674</v>
      </c>
      <c r="C372" s="460"/>
      <c r="D372" s="517">
        <f>D373</f>
        <v>0</v>
      </c>
      <c r="E372" s="517">
        <f t="shared" si="129"/>
        <v>2990</v>
      </c>
      <c r="F372" s="517">
        <f t="shared" si="129"/>
        <v>0</v>
      </c>
      <c r="G372" s="520"/>
    </row>
    <row r="373" spans="1:30" s="519" customFormat="1" x14ac:dyDescent="0.25">
      <c r="A373" s="451" t="s">
        <v>97</v>
      </c>
      <c r="B373" s="612" t="s">
        <v>674</v>
      </c>
      <c r="C373" s="460">
        <v>300</v>
      </c>
      <c r="D373" s="517">
        <f>D374</f>
        <v>0</v>
      </c>
      <c r="E373" s="517">
        <f t="shared" si="129"/>
        <v>2990</v>
      </c>
      <c r="F373" s="517">
        <f t="shared" si="129"/>
        <v>0</v>
      </c>
      <c r="G373" s="520"/>
    </row>
    <row r="374" spans="1:30" s="519" customFormat="1" x14ac:dyDescent="0.25">
      <c r="A374" s="451" t="s">
        <v>40</v>
      </c>
      <c r="B374" s="612" t="s">
        <v>674</v>
      </c>
      <c r="C374" s="460">
        <v>320</v>
      </c>
      <c r="D374" s="517">
        <f>'Функц. 2025-2027'!F911</f>
        <v>0</v>
      </c>
      <c r="E374" s="517">
        <f>'Функц. 2025-2027'!H911</f>
        <v>2990</v>
      </c>
      <c r="F374" s="517">
        <f>'Функц. 2025-2027'!J911</f>
        <v>0</v>
      </c>
      <c r="G374" s="520"/>
    </row>
    <row r="375" spans="1:30" s="134" customFormat="1" ht="31.5" x14ac:dyDescent="0.25">
      <c r="A375" s="395" t="s">
        <v>586</v>
      </c>
      <c r="B375" s="614" t="s">
        <v>111</v>
      </c>
      <c r="C375" s="444"/>
      <c r="D375" s="30">
        <f>D388+D376+D427</f>
        <v>1679191.9000000001</v>
      </c>
      <c r="E375" s="30">
        <f>E388+E376</f>
        <v>667598.49999999988</v>
      </c>
      <c r="F375" s="30">
        <f>F388+F376</f>
        <v>240743.3</v>
      </c>
      <c r="G375" s="152"/>
    </row>
    <row r="376" spans="1:30" s="134" customFormat="1" x14ac:dyDescent="0.25">
      <c r="A376" s="255" t="s">
        <v>588</v>
      </c>
      <c r="B376" s="156" t="s">
        <v>589</v>
      </c>
      <c r="C376" s="444"/>
      <c r="D376" s="27">
        <f>D377+D381+D384</f>
        <v>827470</v>
      </c>
      <c r="E376" s="517">
        <f t="shared" ref="E376:AD376" si="130">E377+E381+E384</f>
        <v>0</v>
      </c>
      <c r="F376" s="517">
        <f t="shared" si="130"/>
        <v>0</v>
      </c>
      <c r="G376" s="517">
        <f t="shared" si="130"/>
        <v>0</v>
      </c>
      <c r="H376" s="517">
        <f t="shared" si="130"/>
        <v>0</v>
      </c>
      <c r="I376" s="517">
        <f t="shared" si="130"/>
        <v>0</v>
      </c>
      <c r="J376" s="517">
        <f t="shared" si="130"/>
        <v>0</v>
      </c>
      <c r="K376" s="517">
        <f t="shared" si="130"/>
        <v>0</v>
      </c>
      <c r="L376" s="517">
        <f t="shared" si="130"/>
        <v>0</v>
      </c>
      <c r="M376" s="517">
        <f t="shared" si="130"/>
        <v>0</v>
      </c>
      <c r="N376" s="517">
        <f t="shared" si="130"/>
        <v>0</v>
      </c>
      <c r="O376" s="517">
        <f t="shared" si="130"/>
        <v>0</v>
      </c>
      <c r="P376" s="517">
        <f t="shared" si="130"/>
        <v>0</v>
      </c>
      <c r="Q376" s="517">
        <f t="shared" si="130"/>
        <v>0</v>
      </c>
      <c r="R376" s="517">
        <f t="shared" si="130"/>
        <v>0</v>
      </c>
      <c r="S376" s="517">
        <f t="shared" si="130"/>
        <v>0</v>
      </c>
      <c r="T376" s="517">
        <f t="shared" si="130"/>
        <v>0</v>
      </c>
      <c r="U376" s="517">
        <f t="shared" si="130"/>
        <v>0</v>
      </c>
      <c r="V376" s="517">
        <f t="shared" si="130"/>
        <v>0</v>
      </c>
      <c r="W376" s="517">
        <f t="shared" si="130"/>
        <v>0</v>
      </c>
      <c r="X376" s="517">
        <f t="shared" si="130"/>
        <v>0</v>
      </c>
      <c r="Y376" s="517">
        <f t="shared" si="130"/>
        <v>0</v>
      </c>
      <c r="Z376" s="517">
        <f t="shared" si="130"/>
        <v>0</v>
      </c>
      <c r="AA376" s="517">
        <f t="shared" si="130"/>
        <v>0</v>
      </c>
      <c r="AB376" s="517">
        <f t="shared" si="130"/>
        <v>0</v>
      </c>
      <c r="AC376" s="517">
        <f t="shared" si="130"/>
        <v>0</v>
      </c>
      <c r="AD376" s="517">
        <f t="shared" si="130"/>
        <v>0</v>
      </c>
    </row>
    <row r="377" spans="1:30" s="513" customFormat="1" ht="47.25" x14ac:dyDescent="0.25">
      <c r="A377" s="459" t="s">
        <v>757</v>
      </c>
      <c r="B377" s="612" t="s">
        <v>758</v>
      </c>
      <c r="C377" s="460"/>
      <c r="D377" s="517">
        <f>D378</f>
        <v>10</v>
      </c>
      <c r="E377" s="517">
        <f t="shared" ref="E377:F379" si="131">E378</f>
        <v>0</v>
      </c>
      <c r="F377" s="517">
        <f t="shared" si="131"/>
        <v>0</v>
      </c>
      <c r="G377" s="520"/>
    </row>
    <row r="378" spans="1:30" s="513" customFormat="1" ht="20.25" customHeight="1" x14ac:dyDescent="0.25">
      <c r="A378" s="459" t="s">
        <v>755</v>
      </c>
      <c r="B378" s="612" t="s">
        <v>756</v>
      </c>
      <c r="C378" s="460"/>
      <c r="D378" s="517">
        <f>D379</f>
        <v>10</v>
      </c>
      <c r="E378" s="517">
        <f t="shared" si="131"/>
        <v>0</v>
      </c>
      <c r="F378" s="517">
        <f t="shared" si="131"/>
        <v>0</v>
      </c>
      <c r="G378" s="520"/>
    </row>
    <row r="379" spans="1:30" s="513" customFormat="1" x14ac:dyDescent="0.25">
      <c r="A379" s="451" t="s">
        <v>120</v>
      </c>
      <c r="B379" s="612" t="s">
        <v>756</v>
      </c>
      <c r="C379" s="460">
        <v>200</v>
      </c>
      <c r="D379" s="517">
        <f>D380</f>
        <v>10</v>
      </c>
      <c r="E379" s="517">
        <f t="shared" si="131"/>
        <v>0</v>
      </c>
      <c r="F379" s="517">
        <f t="shared" si="131"/>
        <v>0</v>
      </c>
      <c r="G379" s="520"/>
    </row>
    <row r="380" spans="1:30" s="513" customFormat="1" x14ac:dyDescent="0.25">
      <c r="A380" s="451" t="s">
        <v>52</v>
      </c>
      <c r="B380" s="612" t="s">
        <v>756</v>
      </c>
      <c r="C380" s="460">
        <v>240</v>
      </c>
      <c r="D380" s="517">
        <f>'Функц. 2025-2027'!F609</f>
        <v>10</v>
      </c>
      <c r="E380" s="517">
        <f>'Функц. 2025-2027'!H609</f>
        <v>0</v>
      </c>
      <c r="F380" s="517">
        <f>'Функц. 2025-2027'!J609</f>
        <v>0</v>
      </c>
      <c r="G380" s="520"/>
    </row>
    <row r="381" spans="1:30" s="134" customFormat="1" ht="47.25" x14ac:dyDescent="0.25">
      <c r="A381" s="562" t="s">
        <v>775</v>
      </c>
      <c r="B381" s="542" t="s">
        <v>776</v>
      </c>
      <c r="C381" s="525"/>
      <c r="D381" s="27">
        <f>D382</f>
        <v>824960</v>
      </c>
      <c r="E381" s="27">
        <f t="shared" ref="E381:F382" si="132">E382</f>
        <v>0</v>
      </c>
      <c r="F381" s="27">
        <f t="shared" si="132"/>
        <v>0</v>
      </c>
      <c r="G381" s="152"/>
    </row>
    <row r="382" spans="1:30" s="134" customFormat="1" x14ac:dyDescent="0.25">
      <c r="A382" s="379" t="s">
        <v>153</v>
      </c>
      <c r="B382" s="542" t="s">
        <v>776</v>
      </c>
      <c r="C382" s="525" t="s">
        <v>154</v>
      </c>
      <c r="D382" s="27">
        <f>D383</f>
        <v>824960</v>
      </c>
      <c r="E382" s="27">
        <f t="shared" si="132"/>
        <v>0</v>
      </c>
      <c r="F382" s="27">
        <f t="shared" si="132"/>
        <v>0</v>
      </c>
      <c r="G382" s="152"/>
    </row>
    <row r="383" spans="1:30" s="134" customFormat="1" x14ac:dyDescent="0.25">
      <c r="A383" s="523" t="s">
        <v>9</v>
      </c>
      <c r="B383" s="542" t="s">
        <v>776</v>
      </c>
      <c r="C383" s="525" t="s">
        <v>155</v>
      </c>
      <c r="D383" s="27">
        <f>'Функц. 2025-2027'!F612</f>
        <v>824960</v>
      </c>
      <c r="E383" s="27">
        <f>'Функц. 2025-2027'!H612</f>
        <v>0</v>
      </c>
      <c r="F383" s="27">
        <f>'Функц. 2025-2027'!J612</f>
        <v>0</v>
      </c>
      <c r="G383" s="152"/>
    </row>
    <row r="384" spans="1:30" s="513" customFormat="1" ht="47.25" x14ac:dyDescent="0.25">
      <c r="A384" s="451" t="s">
        <v>867</v>
      </c>
      <c r="B384" s="542" t="s">
        <v>866</v>
      </c>
      <c r="C384" s="473"/>
      <c r="D384" s="517">
        <f>D385</f>
        <v>2500</v>
      </c>
      <c r="E384" s="517">
        <f t="shared" ref="E384:F386" si="133">E385</f>
        <v>0</v>
      </c>
      <c r="F384" s="517">
        <f t="shared" si="133"/>
        <v>0</v>
      </c>
      <c r="G384" s="520"/>
    </row>
    <row r="385" spans="1:7" s="513" customFormat="1" ht="47.25" x14ac:dyDescent="0.25">
      <c r="A385" s="451" t="s">
        <v>864</v>
      </c>
      <c r="B385" s="542" t="s">
        <v>863</v>
      </c>
      <c r="C385" s="473"/>
      <c r="D385" s="517">
        <f>D386</f>
        <v>2500</v>
      </c>
      <c r="E385" s="517">
        <f t="shared" si="133"/>
        <v>0</v>
      </c>
      <c r="F385" s="517">
        <f t="shared" si="133"/>
        <v>0</v>
      </c>
      <c r="G385" s="520"/>
    </row>
    <row r="386" spans="1:7" s="513" customFormat="1" x14ac:dyDescent="0.25">
      <c r="A386" s="451" t="s">
        <v>120</v>
      </c>
      <c r="B386" s="542" t="s">
        <v>863</v>
      </c>
      <c r="C386" s="185" t="s">
        <v>37</v>
      </c>
      <c r="D386" s="517">
        <f>D387</f>
        <v>2500</v>
      </c>
      <c r="E386" s="517">
        <f t="shared" si="133"/>
        <v>0</v>
      </c>
      <c r="F386" s="517">
        <f t="shared" si="133"/>
        <v>0</v>
      </c>
      <c r="G386" s="520"/>
    </row>
    <row r="387" spans="1:7" s="513" customFormat="1" x14ac:dyDescent="0.25">
      <c r="A387" s="451" t="s">
        <v>52</v>
      </c>
      <c r="B387" s="542" t="s">
        <v>863</v>
      </c>
      <c r="C387" s="185" t="s">
        <v>65</v>
      </c>
      <c r="D387" s="517">
        <f>'Функц. 2025-2027'!F423</f>
        <v>2500</v>
      </c>
      <c r="E387" s="517">
        <f>'Функц. 2025-2027'!H423</f>
        <v>0</v>
      </c>
      <c r="F387" s="517">
        <f>'Функц. 2025-2027'!J423</f>
        <v>0</v>
      </c>
      <c r="G387" s="520"/>
    </row>
    <row r="388" spans="1:7" s="134" customFormat="1" x14ac:dyDescent="0.25">
      <c r="A388" s="523" t="s">
        <v>528</v>
      </c>
      <c r="B388" s="156" t="s">
        <v>388</v>
      </c>
      <c r="C388" s="525"/>
      <c r="D388" s="27">
        <f>D389+D413+D423</f>
        <v>829721.90000000014</v>
      </c>
      <c r="E388" s="27">
        <f>E389+E413+E423</f>
        <v>667598.49999999988</v>
      </c>
      <c r="F388" s="27">
        <f>F389+F413</f>
        <v>240743.3</v>
      </c>
      <c r="G388" s="152"/>
    </row>
    <row r="389" spans="1:7" s="134" customFormat="1" ht="31.5" x14ac:dyDescent="0.25">
      <c r="A389" s="523" t="s">
        <v>442</v>
      </c>
      <c r="B389" s="618" t="s">
        <v>441</v>
      </c>
      <c r="C389" s="525"/>
      <c r="D389" s="27">
        <f>D390+D397+D407+D410+D394</f>
        <v>335775.9</v>
      </c>
      <c r="E389" s="517">
        <f t="shared" ref="E389:F389" si="134">E390+E397+E407+E410+E394</f>
        <v>602111.29999999993</v>
      </c>
      <c r="F389" s="517">
        <f t="shared" si="134"/>
        <v>240743.3</v>
      </c>
      <c r="G389" s="152"/>
    </row>
    <row r="390" spans="1:7" s="134" customFormat="1" x14ac:dyDescent="0.25">
      <c r="A390" s="478" t="s">
        <v>548</v>
      </c>
      <c r="B390" s="488" t="s">
        <v>647</v>
      </c>
      <c r="C390" s="339"/>
      <c r="D390" s="27">
        <f>D391</f>
        <v>0</v>
      </c>
      <c r="E390" s="517">
        <f t="shared" ref="E390:F392" si="135">E391</f>
        <v>85557</v>
      </c>
      <c r="F390" s="517">
        <f t="shared" si="135"/>
        <v>0</v>
      </c>
      <c r="G390" s="152"/>
    </row>
    <row r="391" spans="1:7" s="513" customFormat="1" ht="31.5" x14ac:dyDescent="0.25">
      <c r="A391" s="451" t="s">
        <v>901</v>
      </c>
      <c r="B391" s="555" t="s">
        <v>902</v>
      </c>
      <c r="C391" s="473"/>
      <c r="D391" s="517">
        <f>D392</f>
        <v>0</v>
      </c>
      <c r="E391" s="517">
        <f t="shared" si="135"/>
        <v>85557</v>
      </c>
      <c r="F391" s="517">
        <f t="shared" si="135"/>
        <v>0</v>
      </c>
      <c r="G391" s="520"/>
    </row>
    <row r="392" spans="1:7" s="513" customFormat="1" x14ac:dyDescent="0.25">
      <c r="A392" s="665" t="s">
        <v>416</v>
      </c>
      <c r="B392" s="555" t="s">
        <v>902</v>
      </c>
      <c r="C392" s="473" t="s">
        <v>154</v>
      </c>
      <c r="D392" s="517">
        <f>D393</f>
        <v>0</v>
      </c>
      <c r="E392" s="517">
        <f t="shared" si="135"/>
        <v>85557</v>
      </c>
      <c r="F392" s="517">
        <f t="shared" si="135"/>
        <v>0</v>
      </c>
      <c r="G392" s="520"/>
    </row>
    <row r="393" spans="1:7" s="513" customFormat="1" x14ac:dyDescent="0.25">
      <c r="A393" s="451" t="s">
        <v>9</v>
      </c>
      <c r="B393" s="555" t="s">
        <v>902</v>
      </c>
      <c r="C393" s="473" t="s">
        <v>155</v>
      </c>
      <c r="D393" s="517">
        <f>'Функц. 2025-2027'!F429</f>
        <v>0</v>
      </c>
      <c r="E393" s="517">
        <f>'Функц. 2025-2027'!H429</f>
        <v>85557</v>
      </c>
      <c r="F393" s="517">
        <f>'Функц. 2025-2027'!J429</f>
        <v>0</v>
      </c>
      <c r="G393" s="520"/>
    </row>
    <row r="394" spans="1:7" s="513" customFormat="1" x14ac:dyDescent="0.25">
      <c r="A394" s="478" t="s">
        <v>548</v>
      </c>
      <c r="B394" s="555" t="s">
        <v>844</v>
      </c>
      <c r="C394" s="525"/>
      <c r="D394" s="517">
        <f>D395</f>
        <v>29882.799999999981</v>
      </c>
      <c r="E394" s="517">
        <f t="shared" ref="E394:F394" si="136">E395</f>
        <v>0</v>
      </c>
      <c r="F394" s="517">
        <f t="shared" si="136"/>
        <v>0</v>
      </c>
      <c r="G394" s="520"/>
    </row>
    <row r="395" spans="1:7" s="134" customFormat="1" x14ac:dyDescent="0.25">
      <c r="A395" s="489" t="s">
        <v>416</v>
      </c>
      <c r="B395" s="555" t="s">
        <v>844</v>
      </c>
      <c r="C395" s="525" t="s">
        <v>154</v>
      </c>
      <c r="D395" s="27">
        <f t="shared" ref="D395:F395" si="137">D396</f>
        <v>29882.799999999981</v>
      </c>
      <c r="E395" s="27">
        <f t="shared" si="137"/>
        <v>0</v>
      </c>
      <c r="F395" s="27">
        <f t="shared" si="137"/>
        <v>0</v>
      </c>
      <c r="G395" s="152"/>
    </row>
    <row r="396" spans="1:7" s="134" customFormat="1" x14ac:dyDescent="0.25">
      <c r="A396" s="451" t="s">
        <v>9</v>
      </c>
      <c r="B396" s="555" t="s">
        <v>844</v>
      </c>
      <c r="C396" s="525" t="s">
        <v>155</v>
      </c>
      <c r="D396" s="27">
        <f>'Функц. 2025-2027'!F432</f>
        <v>29882.799999999981</v>
      </c>
      <c r="E396" s="27">
        <f>'Функц. 2025-2027'!H432</f>
        <v>0</v>
      </c>
      <c r="F396" s="27">
        <f>'Функц. 2025-2027'!J432</f>
        <v>0</v>
      </c>
      <c r="G396" s="152"/>
    </row>
    <row r="397" spans="1:7" s="513" customFormat="1" ht="31.5" x14ac:dyDescent="0.25">
      <c r="A397" s="451" t="s">
        <v>653</v>
      </c>
      <c r="B397" s="619" t="s">
        <v>652</v>
      </c>
      <c r="C397" s="468"/>
      <c r="D397" s="517">
        <f>D398+D401+D404</f>
        <v>621.20000000000005</v>
      </c>
      <c r="E397" s="517">
        <f t="shared" ref="E397:F397" si="138">E398+E401+E404</f>
        <v>295713.39999999997</v>
      </c>
      <c r="F397" s="517">
        <f t="shared" si="138"/>
        <v>240743.3</v>
      </c>
      <c r="G397" s="520"/>
    </row>
    <row r="398" spans="1:7" s="513" customFormat="1" ht="47.25" x14ac:dyDescent="0.25">
      <c r="A398" s="478" t="s">
        <v>717</v>
      </c>
      <c r="B398" s="619" t="s">
        <v>715</v>
      </c>
      <c r="C398" s="468"/>
      <c r="D398" s="517">
        <f>D399</f>
        <v>0</v>
      </c>
      <c r="E398" s="517">
        <f t="shared" ref="E398:F398" si="139">E399</f>
        <v>51481.299999999996</v>
      </c>
      <c r="F398" s="517">
        <f t="shared" si="139"/>
        <v>120123</v>
      </c>
      <c r="G398" s="520"/>
    </row>
    <row r="399" spans="1:7" s="513" customFormat="1" x14ac:dyDescent="0.25">
      <c r="A399" s="489" t="s">
        <v>416</v>
      </c>
      <c r="B399" s="619" t="s">
        <v>715</v>
      </c>
      <c r="C399" s="468" t="s">
        <v>154</v>
      </c>
      <c r="D399" s="517">
        <f>D400</f>
        <v>0</v>
      </c>
      <c r="E399" s="517">
        <f t="shared" ref="E399:F399" si="140">E400</f>
        <v>51481.299999999996</v>
      </c>
      <c r="F399" s="517">
        <f t="shared" si="140"/>
        <v>120123</v>
      </c>
      <c r="G399" s="520"/>
    </row>
    <row r="400" spans="1:7" s="513" customFormat="1" x14ac:dyDescent="0.25">
      <c r="A400" s="451" t="s">
        <v>9</v>
      </c>
      <c r="B400" s="619" t="s">
        <v>715</v>
      </c>
      <c r="C400" s="468" t="s">
        <v>155</v>
      </c>
      <c r="D400" s="517">
        <f>'Функц. 2025-2027'!F436</f>
        <v>0</v>
      </c>
      <c r="E400" s="517">
        <f>'Функц. 2025-2027'!H436</f>
        <v>51481.299999999996</v>
      </c>
      <c r="F400" s="517">
        <f>'Функц. 2025-2027'!J436</f>
        <v>120123</v>
      </c>
      <c r="G400" s="520"/>
    </row>
    <row r="401" spans="1:30" s="513" customFormat="1" ht="47.25" x14ac:dyDescent="0.25">
      <c r="A401" s="451" t="s">
        <v>718</v>
      </c>
      <c r="B401" s="619" t="s">
        <v>716</v>
      </c>
      <c r="C401" s="468"/>
      <c r="D401" s="517">
        <f>D402</f>
        <v>0</v>
      </c>
      <c r="E401" s="517">
        <f t="shared" ref="E401:F401" si="141">E402</f>
        <v>120620.29999999999</v>
      </c>
      <c r="F401" s="517">
        <f t="shared" si="141"/>
        <v>120620.29999999999</v>
      </c>
      <c r="G401" s="520"/>
    </row>
    <row r="402" spans="1:30" s="513" customFormat="1" x14ac:dyDescent="0.25">
      <c r="A402" s="489" t="s">
        <v>416</v>
      </c>
      <c r="B402" s="619" t="s">
        <v>716</v>
      </c>
      <c r="C402" s="468" t="s">
        <v>154</v>
      </c>
      <c r="D402" s="517">
        <f>D403</f>
        <v>0</v>
      </c>
      <c r="E402" s="517">
        <f t="shared" ref="E402:F402" si="142">E403</f>
        <v>120620.29999999999</v>
      </c>
      <c r="F402" s="517">
        <f t="shared" si="142"/>
        <v>120620.29999999999</v>
      </c>
      <c r="G402" s="520"/>
    </row>
    <row r="403" spans="1:30" s="513" customFormat="1" x14ac:dyDescent="0.25">
      <c r="A403" s="451" t="s">
        <v>9</v>
      </c>
      <c r="B403" s="619" t="s">
        <v>716</v>
      </c>
      <c r="C403" s="468" t="s">
        <v>155</v>
      </c>
      <c r="D403" s="517">
        <f>'Функц. 2025-2027'!F439</f>
        <v>0</v>
      </c>
      <c r="E403" s="517">
        <f>'Функц. 2025-2027'!H439</f>
        <v>120620.29999999999</v>
      </c>
      <c r="F403" s="517">
        <f>'Функц. 2025-2027'!J439</f>
        <v>120620.29999999999</v>
      </c>
      <c r="G403" s="520"/>
    </row>
    <row r="404" spans="1:30" s="513" customFormat="1" ht="47.25" x14ac:dyDescent="0.25">
      <c r="A404" s="451" t="s">
        <v>835</v>
      </c>
      <c r="B404" s="555" t="s">
        <v>836</v>
      </c>
      <c r="C404" s="473"/>
      <c r="D404" s="517">
        <f>D405</f>
        <v>621.20000000000005</v>
      </c>
      <c r="E404" s="517">
        <f t="shared" ref="E404:F404" si="143">E405</f>
        <v>123611.8</v>
      </c>
      <c r="F404" s="517">
        <f t="shared" si="143"/>
        <v>0</v>
      </c>
      <c r="G404" s="520"/>
    </row>
    <row r="405" spans="1:30" s="513" customFormat="1" x14ac:dyDescent="0.25">
      <c r="A405" s="665" t="s">
        <v>416</v>
      </c>
      <c r="B405" s="555" t="s">
        <v>836</v>
      </c>
      <c r="C405" s="473" t="s">
        <v>154</v>
      </c>
      <c r="D405" s="517">
        <f>D406</f>
        <v>621.20000000000005</v>
      </c>
      <c r="E405" s="517">
        <f t="shared" ref="E405:F405" si="144">E406</f>
        <v>123611.8</v>
      </c>
      <c r="F405" s="517">
        <f t="shared" si="144"/>
        <v>0</v>
      </c>
      <c r="G405" s="520"/>
    </row>
    <row r="406" spans="1:30" s="513" customFormat="1" x14ac:dyDescent="0.25">
      <c r="A406" s="451" t="s">
        <v>9</v>
      </c>
      <c r="B406" s="555" t="s">
        <v>836</v>
      </c>
      <c r="C406" s="473" t="s">
        <v>155</v>
      </c>
      <c r="D406" s="517">
        <f>'Функц. 2025-2027'!F442</f>
        <v>621.20000000000005</v>
      </c>
      <c r="E406" s="517">
        <f>'Функц. 2025-2027'!H442</f>
        <v>123611.8</v>
      </c>
      <c r="F406" s="517">
        <f>'Функц. 2025-2027'!J442</f>
        <v>0</v>
      </c>
      <c r="G406" s="520"/>
    </row>
    <row r="407" spans="1:30" s="513" customFormat="1" x14ac:dyDescent="0.25">
      <c r="A407" s="523" t="s">
        <v>638</v>
      </c>
      <c r="B407" s="619" t="s">
        <v>645</v>
      </c>
      <c r="C407" s="430"/>
      <c r="D407" s="27">
        <f t="shared" ref="D407:F408" si="145">D408</f>
        <v>112639.70000000004</v>
      </c>
      <c r="E407" s="27">
        <f t="shared" si="145"/>
        <v>220840.9</v>
      </c>
      <c r="F407" s="27">
        <f t="shared" si="145"/>
        <v>0</v>
      </c>
      <c r="G407" s="520"/>
    </row>
    <row r="408" spans="1:30" s="513" customFormat="1" x14ac:dyDescent="0.25">
      <c r="A408" s="523" t="s">
        <v>120</v>
      </c>
      <c r="B408" s="619" t="s">
        <v>645</v>
      </c>
      <c r="C408" s="430" t="s">
        <v>37</v>
      </c>
      <c r="D408" s="27">
        <f t="shared" si="145"/>
        <v>112639.70000000004</v>
      </c>
      <c r="E408" s="27">
        <f t="shared" si="145"/>
        <v>220840.9</v>
      </c>
      <c r="F408" s="27">
        <f t="shared" si="145"/>
        <v>0</v>
      </c>
      <c r="G408" s="520"/>
    </row>
    <row r="409" spans="1:30" s="513" customFormat="1" x14ac:dyDescent="0.25">
      <c r="A409" s="523" t="s">
        <v>52</v>
      </c>
      <c r="B409" s="619" t="s">
        <v>645</v>
      </c>
      <c r="C409" s="430" t="s">
        <v>65</v>
      </c>
      <c r="D409" s="27">
        <f>'Функц. 2025-2027'!F445</f>
        <v>112639.70000000004</v>
      </c>
      <c r="E409" s="27">
        <f>'Функц. 2025-2027'!H445</f>
        <v>220840.9</v>
      </c>
      <c r="F409" s="27">
        <f>'Функц. 2025-2027'!J445</f>
        <v>0</v>
      </c>
      <c r="G409" s="520"/>
    </row>
    <row r="410" spans="1:30" s="513" customFormat="1" ht="47.25" x14ac:dyDescent="0.25">
      <c r="A410" s="451" t="s">
        <v>846</v>
      </c>
      <c r="B410" s="555" t="s">
        <v>845</v>
      </c>
      <c r="C410" s="473"/>
      <c r="D410" s="517">
        <f>D411</f>
        <v>192632.2</v>
      </c>
      <c r="E410" s="517">
        <f t="shared" ref="E410:F410" si="146">E411</f>
        <v>0</v>
      </c>
      <c r="F410" s="517">
        <f t="shared" si="146"/>
        <v>0</v>
      </c>
      <c r="G410" s="520"/>
    </row>
    <row r="411" spans="1:30" s="513" customFormat="1" x14ac:dyDescent="0.25">
      <c r="A411" s="451" t="s">
        <v>120</v>
      </c>
      <c r="B411" s="555" t="s">
        <v>845</v>
      </c>
      <c r="C411" s="473" t="s">
        <v>37</v>
      </c>
      <c r="D411" s="517">
        <f>D412</f>
        <v>192632.2</v>
      </c>
      <c r="E411" s="517">
        <f t="shared" ref="E411:F411" si="147">E412</f>
        <v>0</v>
      </c>
      <c r="F411" s="517">
        <f t="shared" si="147"/>
        <v>0</v>
      </c>
      <c r="G411" s="520"/>
    </row>
    <row r="412" spans="1:30" s="513" customFormat="1" x14ac:dyDescent="0.25">
      <c r="A412" s="451" t="s">
        <v>52</v>
      </c>
      <c r="B412" s="555" t="s">
        <v>845</v>
      </c>
      <c r="C412" s="473" t="s">
        <v>65</v>
      </c>
      <c r="D412" s="517">
        <f>'Функц. 2025-2027'!F448</f>
        <v>192632.2</v>
      </c>
      <c r="E412" s="517">
        <f>'Функц. 2025-2027'!H448</f>
        <v>0</v>
      </c>
      <c r="F412" s="517">
        <f>'Функц. 2025-2027'!J448</f>
        <v>0</v>
      </c>
      <c r="G412" s="520"/>
    </row>
    <row r="413" spans="1:30" s="134" customFormat="1" ht="47.25" x14ac:dyDescent="0.25">
      <c r="A413" s="523" t="s">
        <v>724</v>
      </c>
      <c r="B413" s="156" t="s">
        <v>625</v>
      </c>
      <c r="C413" s="430"/>
      <c r="D413" s="27">
        <f>D417+D414+D420</f>
        <v>493946.00000000006</v>
      </c>
      <c r="E413" s="517">
        <f t="shared" ref="E413:AD413" si="148">E417+E414+E420</f>
        <v>62987.199999999997</v>
      </c>
      <c r="F413" s="517">
        <f t="shared" si="148"/>
        <v>0</v>
      </c>
      <c r="G413" s="517">
        <f t="shared" si="148"/>
        <v>0</v>
      </c>
      <c r="H413" s="517">
        <f t="shared" si="148"/>
        <v>0</v>
      </c>
      <c r="I413" s="517">
        <f t="shared" si="148"/>
        <v>0</v>
      </c>
      <c r="J413" s="517">
        <f t="shared" si="148"/>
        <v>0</v>
      </c>
      <c r="K413" s="517">
        <f t="shared" si="148"/>
        <v>0</v>
      </c>
      <c r="L413" s="517">
        <f t="shared" si="148"/>
        <v>0</v>
      </c>
      <c r="M413" s="517">
        <f t="shared" si="148"/>
        <v>0</v>
      </c>
      <c r="N413" s="517">
        <f t="shared" si="148"/>
        <v>0</v>
      </c>
      <c r="O413" s="517">
        <f t="shared" si="148"/>
        <v>0</v>
      </c>
      <c r="P413" s="517">
        <f t="shared" si="148"/>
        <v>0</v>
      </c>
      <c r="Q413" s="517">
        <f t="shared" si="148"/>
        <v>0</v>
      </c>
      <c r="R413" s="517">
        <f t="shared" si="148"/>
        <v>0</v>
      </c>
      <c r="S413" s="517">
        <f t="shared" si="148"/>
        <v>0</v>
      </c>
      <c r="T413" s="517">
        <f t="shared" si="148"/>
        <v>0</v>
      </c>
      <c r="U413" s="517">
        <f t="shared" si="148"/>
        <v>0</v>
      </c>
      <c r="V413" s="517">
        <f t="shared" si="148"/>
        <v>0</v>
      </c>
      <c r="W413" s="517">
        <f t="shared" si="148"/>
        <v>0</v>
      </c>
      <c r="X413" s="517">
        <f t="shared" si="148"/>
        <v>0</v>
      </c>
      <c r="Y413" s="517">
        <f t="shared" si="148"/>
        <v>0</v>
      </c>
      <c r="Z413" s="517">
        <f t="shared" si="148"/>
        <v>0</v>
      </c>
      <c r="AA413" s="517">
        <f t="shared" si="148"/>
        <v>0</v>
      </c>
      <c r="AB413" s="517">
        <f t="shared" si="148"/>
        <v>0</v>
      </c>
      <c r="AC413" s="517">
        <f t="shared" si="148"/>
        <v>0</v>
      </c>
      <c r="AD413" s="517">
        <f t="shared" si="148"/>
        <v>0</v>
      </c>
    </row>
    <row r="414" spans="1:30" s="513" customFormat="1" ht="31.5" x14ac:dyDescent="0.25">
      <c r="A414" s="479" t="s">
        <v>781</v>
      </c>
      <c r="B414" s="542" t="s">
        <v>780</v>
      </c>
      <c r="C414" s="473"/>
      <c r="D414" s="517">
        <f>D415</f>
        <v>2400</v>
      </c>
      <c r="E414" s="517">
        <f t="shared" ref="E414:F415" si="149">E415</f>
        <v>0</v>
      </c>
      <c r="F414" s="517">
        <f t="shared" si="149"/>
        <v>0</v>
      </c>
      <c r="G414" s="520"/>
    </row>
    <row r="415" spans="1:30" s="513" customFormat="1" x14ac:dyDescent="0.25">
      <c r="A415" s="479" t="s">
        <v>120</v>
      </c>
      <c r="B415" s="542" t="s">
        <v>780</v>
      </c>
      <c r="C415" s="473" t="s">
        <v>37</v>
      </c>
      <c r="D415" s="517">
        <f>D416</f>
        <v>2400</v>
      </c>
      <c r="E415" s="517">
        <f t="shared" si="149"/>
        <v>0</v>
      </c>
      <c r="F415" s="517">
        <f t="shared" si="149"/>
        <v>0</v>
      </c>
      <c r="G415" s="520"/>
    </row>
    <row r="416" spans="1:30" s="513" customFormat="1" x14ac:dyDescent="0.25">
      <c r="A416" s="479" t="s">
        <v>52</v>
      </c>
      <c r="B416" s="542" t="s">
        <v>780</v>
      </c>
      <c r="C416" s="473" t="s">
        <v>65</v>
      </c>
      <c r="D416" s="517">
        <f>'Функц. 2025-2027'!F452</f>
        <v>2400</v>
      </c>
      <c r="E416" s="517">
        <f>'Функц. 2025-2027'!H452</f>
        <v>0</v>
      </c>
      <c r="F416" s="517">
        <f>'Функц. 2025-2027'!J452</f>
        <v>0</v>
      </c>
      <c r="G416" s="520"/>
    </row>
    <row r="417" spans="1:30" s="134" customFormat="1" ht="31.5" x14ac:dyDescent="0.25">
      <c r="A417" s="523" t="s">
        <v>639</v>
      </c>
      <c r="B417" s="619" t="s">
        <v>646</v>
      </c>
      <c r="C417" s="430"/>
      <c r="D417" s="27">
        <f t="shared" ref="D417:F418" si="150">D418</f>
        <v>21150.200000000055</v>
      </c>
      <c r="E417" s="27">
        <f t="shared" si="150"/>
        <v>62987.199999999997</v>
      </c>
      <c r="F417" s="27">
        <f t="shared" si="150"/>
        <v>0</v>
      </c>
      <c r="G417" s="152"/>
    </row>
    <row r="418" spans="1:30" s="134" customFormat="1" x14ac:dyDescent="0.25">
      <c r="A418" s="523" t="s">
        <v>120</v>
      </c>
      <c r="B418" s="619" t="s">
        <v>646</v>
      </c>
      <c r="C418" s="430" t="s">
        <v>37</v>
      </c>
      <c r="D418" s="27">
        <f t="shared" si="150"/>
        <v>21150.200000000055</v>
      </c>
      <c r="E418" s="27">
        <f t="shared" si="150"/>
        <v>62987.199999999997</v>
      </c>
      <c r="F418" s="27">
        <f t="shared" si="150"/>
        <v>0</v>
      </c>
      <c r="G418" s="152"/>
    </row>
    <row r="419" spans="1:30" s="134" customFormat="1" x14ac:dyDescent="0.25">
      <c r="A419" s="523" t="s">
        <v>52</v>
      </c>
      <c r="B419" s="619" t="s">
        <v>646</v>
      </c>
      <c r="C419" s="430" t="s">
        <v>65</v>
      </c>
      <c r="D419" s="27">
        <f>'Функц. 2025-2027'!F455</f>
        <v>21150.200000000055</v>
      </c>
      <c r="E419" s="27">
        <f>'Функц. 2025-2027'!H455</f>
        <v>62987.199999999997</v>
      </c>
      <c r="F419" s="27">
        <f>'Функц. 2025-2027'!J455</f>
        <v>0</v>
      </c>
      <c r="G419" s="152"/>
    </row>
    <row r="420" spans="1:30" s="513" customFormat="1" ht="31.5" x14ac:dyDescent="0.25">
      <c r="A420" s="451" t="s">
        <v>849</v>
      </c>
      <c r="B420" s="555" t="s">
        <v>850</v>
      </c>
      <c r="C420" s="473"/>
      <c r="D420" s="517">
        <f>D421</f>
        <v>470395.8</v>
      </c>
      <c r="E420" s="517">
        <f t="shared" ref="E420:F420" si="151">E421</f>
        <v>0</v>
      </c>
      <c r="F420" s="517">
        <f t="shared" si="151"/>
        <v>0</v>
      </c>
      <c r="G420" s="520"/>
    </row>
    <row r="421" spans="1:30" s="513" customFormat="1" x14ac:dyDescent="0.25">
      <c r="A421" s="451" t="s">
        <v>120</v>
      </c>
      <c r="B421" s="555" t="s">
        <v>850</v>
      </c>
      <c r="C421" s="473" t="s">
        <v>37</v>
      </c>
      <c r="D421" s="517">
        <f>D422</f>
        <v>470395.8</v>
      </c>
      <c r="E421" s="517">
        <f t="shared" ref="E421:F421" si="152">E422</f>
        <v>0</v>
      </c>
      <c r="F421" s="517">
        <f t="shared" si="152"/>
        <v>0</v>
      </c>
      <c r="G421" s="520"/>
    </row>
    <row r="422" spans="1:30" s="513" customFormat="1" x14ac:dyDescent="0.25">
      <c r="A422" s="451" t="s">
        <v>52</v>
      </c>
      <c r="B422" s="555" t="s">
        <v>850</v>
      </c>
      <c r="C422" s="473" t="s">
        <v>65</v>
      </c>
      <c r="D422" s="517">
        <f>'Функц. 2025-2027'!F458</f>
        <v>470395.8</v>
      </c>
      <c r="E422" s="517">
        <f>'Функц. 2025-2027'!H458</f>
        <v>0</v>
      </c>
      <c r="F422" s="517">
        <f>'Функц. 2025-2027'!J458</f>
        <v>0</v>
      </c>
      <c r="G422" s="520"/>
    </row>
    <row r="423" spans="1:30" s="513" customFormat="1" ht="47.25" x14ac:dyDescent="0.25">
      <c r="A423" s="451" t="s">
        <v>897</v>
      </c>
      <c r="B423" s="542" t="s">
        <v>899</v>
      </c>
      <c r="C423" s="473"/>
      <c r="D423" s="517">
        <f>D424</f>
        <v>0</v>
      </c>
      <c r="E423" s="517">
        <f t="shared" ref="E423:F425" si="153">E424</f>
        <v>2500</v>
      </c>
      <c r="F423" s="517">
        <f t="shared" si="153"/>
        <v>0</v>
      </c>
      <c r="G423" s="520"/>
    </row>
    <row r="424" spans="1:30" s="513" customFormat="1" ht="31.5" x14ac:dyDescent="0.25">
      <c r="A424" s="451" t="s">
        <v>898</v>
      </c>
      <c r="B424" s="542" t="s">
        <v>900</v>
      </c>
      <c r="C424" s="473"/>
      <c r="D424" s="517">
        <f>D425</f>
        <v>0</v>
      </c>
      <c r="E424" s="517">
        <f t="shared" si="153"/>
        <v>2500</v>
      </c>
      <c r="F424" s="517">
        <f t="shared" si="153"/>
        <v>0</v>
      </c>
      <c r="G424" s="520"/>
    </row>
    <row r="425" spans="1:30" s="513" customFormat="1" x14ac:dyDescent="0.25">
      <c r="A425" s="451" t="s">
        <v>120</v>
      </c>
      <c r="B425" s="542" t="s">
        <v>900</v>
      </c>
      <c r="C425" s="473" t="s">
        <v>37</v>
      </c>
      <c r="D425" s="517">
        <f>D426</f>
        <v>0</v>
      </c>
      <c r="E425" s="517">
        <f t="shared" si="153"/>
        <v>2500</v>
      </c>
      <c r="F425" s="517">
        <f t="shared" si="153"/>
        <v>0</v>
      </c>
      <c r="G425" s="520"/>
    </row>
    <row r="426" spans="1:30" s="513" customFormat="1" x14ac:dyDescent="0.25">
      <c r="A426" s="451" t="s">
        <v>52</v>
      </c>
      <c r="B426" s="542" t="s">
        <v>900</v>
      </c>
      <c r="C426" s="473" t="s">
        <v>65</v>
      </c>
      <c r="D426" s="517">
        <f>'Функц. 2025-2027'!F462</f>
        <v>0</v>
      </c>
      <c r="E426" s="517">
        <f>'Функц. 2025-2027'!H462</f>
        <v>2500</v>
      </c>
      <c r="F426" s="517">
        <f>'Функц. 2025-2027'!J462</f>
        <v>0</v>
      </c>
      <c r="G426" s="520"/>
    </row>
    <row r="427" spans="1:30" s="513" customFormat="1" x14ac:dyDescent="0.25">
      <c r="A427" s="451" t="s">
        <v>664</v>
      </c>
      <c r="B427" s="612" t="s">
        <v>665</v>
      </c>
      <c r="C427" s="468"/>
      <c r="D427" s="517">
        <f>D428</f>
        <v>22000</v>
      </c>
      <c r="E427" s="517">
        <f t="shared" ref="E427:F433" si="154">E428</f>
        <v>0</v>
      </c>
      <c r="F427" s="517">
        <f t="shared" si="154"/>
        <v>0</v>
      </c>
      <c r="G427" s="520"/>
    </row>
    <row r="428" spans="1:30" s="513" customFormat="1" ht="31.5" x14ac:dyDescent="0.25">
      <c r="A428" s="451" t="s">
        <v>667</v>
      </c>
      <c r="B428" s="612" t="s">
        <v>666</v>
      </c>
      <c r="C428" s="468"/>
      <c r="D428" s="517">
        <f>D432+D429</f>
        <v>22000</v>
      </c>
      <c r="E428" s="517">
        <f t="shared" ref="E428:F428" si="155">E432+E429</f>
        <v>0</v>
      </c>
      <c r="F428" s="517">
        <f t="shared" si="155"/>
        <v>0</v>
      </c>
      <c r="G428" s="520"/>
    </row>
    <row r="429" spans="1:30" s="513" customFormat="1" ht="31.5" x14ac:dyDescent="0.25">
      <c r="A429" s="451" t="s">
        <v>842</v>
      </c>
      <c r="B429" s="542" t="s">
        <v>843</v>
      </c>
      <c r="C429" s="473"/>
      <c r="D429" s="517">
        <f>D430</f>
        <v>5500</v>
      </c>
      <c r="E429" s="517">
        <f t="shared" ref="E429:F430" si="156">E430</f>
        <v>0</v>
      </c>
      <c r="F429" s="517">
        <f t="shared" si="156"/>
        <v>0</v>
      </c>
      <c r="G429" s="520"/>
    </row>
    <row r="430" spans="1:30" s="513" customFormat="1" x14ac:dyDescent="0.25">
      <c r="A430" s="451" t="s">
        <v>120</v>
      </c>
      <c r="B430" s="542" t="s">
        <v>843</v>
      </c>
      <c r="C430" s="473" t="s">
        <v>37</v>
      </c>
      <c r="D430" s="517">
        <f>D431</f>
        <v>5500</v>
      </c>
      <c r="E430" s="517">
        <f t="shared" si="156"/>
        <v>0</v>
      </c>
      <c r="F430" s="517">
        <f t="shared" si="156"/>
        <v>0</v>
      </c>
      <c r="G430" s="517">
        <f t="shared" ref="G430:AD430" si="157">G431</f>
        <v>0</v>
      </c>
      <c r="H430" s="517">
        <f t="shared" si="157"/>
        <v>0</v>
      </c>
      <c r="I430" s="517">
        <f t="shared" si="157"/>
        <v>0</v>
      </c>
      <c r="J430" s="517">
        <f t="shared" si="157"/>
        <v>0</v>
      </c>
      <c r="K430" s="517">
        <f t="shared" si="157"/>
        <v>0</v>
      </c>
      <c r="L430" s="517">
        <f t="shared" si="157"/>
        <v>0</v>
      </c>
      <c r="M430" s="517">
        <f t="shared" si="157"/>
        <v>0</v>
      </c>
      <c r="N430" s="517">
        <f t="shared" si="157"/>
        <v>0</v>
      </c>
      <c r="O430" s="517">
        <f t="shared" si="157"/>
        <v>0</v>
      </c>
      <c r="P430" s="517">
        <f t="shared" si="157"/>
        <v>0</v>
      </c>
      <c r="Q430" s="517">
        <f t="shared" si="157"/>
        <v>0</v>
      </c>
      <c r="R430" s="517">
        <f t="shared" si="157"/>
        <v>0</v>
      </c>
      <c r="S430" s="517">
        <f t="shared" si="157"/>
        <v>0</v>
      </c>
      <c r="T430" s="517">
        <f t="shared" si="157"/>
        <v>0</v>
      </c>
      <c r="U430" s="517">
        <f t="shared" si="157"/>
        <v>0</v>
      </c>
      <c r="V430" s="517">
        <f t="shared" si="157"/>
        <v>0</v>
      </c>
      <c r="W430" s="517">
        <f t="shared" si="157"/>
        <v>0</v>
      </c>
      <c r="X430" s="517">
        <f t="shared" si="157"/>
        <v>0</v>
      </c>
      <c r="Y430" s="517">
        <f t="shared" si="157"/>
        <v>0</v>
      </c>
      <c r="Z430" s="517">
        <f t="shared" si="157"/>
        <v>0</v>
      </c>
      <c r="AA430" s="517">
        <f t="shared" si="157"/>
        <v>0</v>
      </c>
      <c r="AB430" s="517">
        <f t="shared" si="157"/>
        <v>0</v>
      </c>
      <c r="AC430" s="517">
        <f t="shared" si="157"/>
        <v>0</v>
      </c>
      <c r="AD430" s="517">
        <f t="shared" si="157"/>
        <v>0</v>
      </c>
    </row>
    <row r="431" spans="1:30" s="513" customFormat="1" x14ac:dyDescent="0.25">
      <c r="A431" s="451" t="s">
        <v>52</v>
      </c>
      <c r="B431" s="542" t="s">
        <v>843</v>
      </c>
      <c r="C431" s="473" t="s">
        <v>65</v>
      </c>
      <c r="D431" s="517">
        <f>'Функц. 2025-2027'!F467</f>
        <v>5500</v>
      </c>
      <c r="E431" s="517">
        <f>'Функц. 2025-2027'!H467</f>
        <v>0</v>
      </c>
      <c r="F431" s="517">
        <f>'Функц. 2025-2027'!J467</f>
        <v>0</v>
      </c>
      <c r="G431" s="520"/>
    </row>
    <row r="432" spans="1:30" s="513" customFormat="1" x14ac:dyDescent="0.25">
      <c r="A432" s="451" t="s">
        <v>668</v>
      </c>
      <c r="B432" s="612" t="s">
        <v>669</v>
      </c>
      <c r="C432" s="468"/>
      <c r="D432" s="517">
        <f>D433</f>
        <v>16500</v>
      </c>
      <c r="E432" s="517">
        <f t="shared" si="154"/>
        <v>0</v>
      </c>
      <c r="F432" s="517">
        <f t="shared" si="154"/>
        <v>0</v>
      </c>
      <c r="G432" s="517">
        <f t="shared" ref="G432:AD432" si="158">G433</f>
        <v>0</v>
      </c>
      <c r="H432" s="517">
        <f t="shared" si="158"/>
        <v>0</v>
      </c>
      <c r="I432" s="517">
        <f t="shared" si="158"/>
        <v>0</v>
      </c>
      <c r="J432" s="517">
        <f t="shared" si="158"/>
        <v>0</v>
      </c>
      <c r="K432" s="517">
        <f t="shared" si="158"/>
        <v>0</v>
      </c>
      <c r="L432" s="517">
        <f t="shared" si="158"/>
        <v>0</v>
      </c>
      <c r="M432" s="517">
        <f t="shared" si="158"/>
        <v>0</v>
      </c>
      <c r="N432" s="517">
        <f t="shared" si="158"/>
        <v>0</v>
      </c>
      <c r="O432" s="517">
        <f t="shared" si="158"/>
        <v>0</v>
      </c>
      <c r="P432" s="517">
        <f t="shared" si="158"/>
        <v>0</v>
      </c>
      <c r="Q432" s="517">
        <f t="shared" si="158"/>
        <v>0</v>
      </c>
      <c r="R432" s="517">
        <f t="shared" si="158"/>
        <v>0</v>
      </c>
      <c r="S432" s="517">
        <f t="shared" si="158"/>
        <v>0</v>
      </c>
      <c r="T432" s="517">
        <f t="shared" si="158"/>
        <v>0</v>
      </c>
      <c r="U432" s="517">
        <f t="shared" si="158"/>
        <v>0</v>
      </c>
      <c r="V432" s="517">
        <f t="shared" si="158"/>
        <v>0</v>
      </c>
      <c r="W432" s="517">
        <f t="shared" si="158"/>
        <v>0</v>
      </c>
      <c r="X432" s="517">
        <f t="shared" si="158"/>
        <v>0</v>
      </c>
      <c r="Y432" s="517">
        <f t="shared" si="158"/>
        <v>0</v>
      </c>
      <c r="Z432" s="517">
        <f t="shared" si="158"/>
        <v>0</v>
      </c>
      <c r="AA432" s="517">
        <f t="shared" si="158"/>
        <v>0</v>
      </c>
      <c r="AB432" s="517">
        <f t="shared" si="158"/>
        <v>0</v>
      </c>
      <c r="AC432" s="517">
        <f t="shared" si="158"/>
        <v>0</v>
      </c>
      <c r="AD432" s="517">
        <f t="shared" si="158"/>
        <v>0</v>
      </c>
    </row>
    <row r="433" spans="1:30" s="513" customFormat="1" x14ac:dyDescent="0.25">
      <c r="A433" s="523" t="s">
        <v>42</v>
      </c>
      <c r="B433" s="612" t="s">
        <v>669</v>
      </c>
      <c r="C433" s="525" t="s">
        <v>346</v>
      </c>
      <c r="D433" s="517">
        <f>D434</f>
        <v>16500</v>
      </c>
      <c r="E433" s="517">
        <f t="shared" si="154"/>
        <v>0</v>
      </c>
      <c r="F433" s="517">
        <f t="shared" si="154"/>
        <v>0</v>
      </c>
      <c r="G433" s="520"/>
    </row>
    <row r="434" spans="1:30" s="513" customFormat="1" ht="31.5" x14ac:dyDescent="0.25">
      <c r="A434" s="523" t="s">
        <v>121</v>
      </c>
      <c r="B434" s="612" t="s">
        <v>669</v>
      </c>
      <c r="C434" s="525" t="s">
        <v>347</v>
      </c>
      <c r="D434" s="517">
        <f>'Функц. 2025-2027'!F470</f>
        <v>16500</v>
      </c>
      <c r="E434" s="517">
        <v>0</v>
      </c>
      <c r="F434" s="517">
        <v>0</v>
      </c>
      <c r="G434" s="520"/>
    </row>
    <row r="435" spans="1:30" s="513" customFormat="1" x14ac:dyDescent="0.25">
      <c r="A435" s="717" t="s">
        <v>882</v>
      </c>
      <c r="B435" s="718" t="s">
        <v>883</v>
      </c>
      <c r="C435" s="188"/>
      <c r="D435" s="518">
        <f>D436</f>
        <v>500</v>
      </c>
      <c r="E435" s="518">
        <f t="shared" ref="E435:F438" si="159">E436</f>
        <v>0</v>
      </c>
      <c r="F435" s="518">
        <f t="shared" si="159"/>
        <v>0</v>
      </c>
      <c r="G435" s="531"/>
    </row>
    <row r="436" spans="1:30" s="513" customFormat="1" x14ac:dyDescent="0.25">
      <c r="A436" s="514" t="s">
        <v>884</v>
      </c>
      <c r="B436" s="512" t="s">
        <v>885</v>
      </c>
      <c r="C436" s="516"/>
      <c r="D436" s="517">
        <f>D437</f>
        <v>500</v>
      </c>
      <c r="E436" s="517">
        <f t="shared" si="159"/>
        <v>0</v>
      </c>
      <c r="F436" s="517">
        <f t="shared" si="159"/>
        <v>0</v>
      </c>
      <c r="G436" s="520"/>
    </row>
    <row r="437" spans="1:30" s="513" customFormat="1" ht="31.5" x14ac:dyDescent="0.25">
      <c r="A437" s="514" t="s">
        <v>886</v>
      </c>
      <c r="B437" s="512" t="s">
        <v>887</v>
      </c>
      <c r="C437" s="516"/>
      <c r="D437" s="517">
        <f>D438</f>
        <v>500</v>
      </c>
      <c r="E437" s="517">
        <f t="shared" si="159"/>
        <v>0</v>
      </c>
      <c r="F437" s="517">
        <f t="shared" si="159"/>
        <v>0</v>
      </c>
      <c r="G437" s="520"/>
    </row>
    <row r="438" spans="1:30" s="513" customFormat="1" x14ac:dyDescent="0.25">
      <c r="A438" s="514" t="s">
        <v>888</v>
      </c>
      <c r="B438" s="512" t="s">
        <v>889</v>
      </c>
      <c r="C438" s="516"/>
      <c r="D438" s="517">
        <f>D439</f>
        <v>500</v>
      </c>
      <c r="E438" s="517">
        <f t="shared" si="159"/>
        <v>0</v>
      </c>
      <c r="F438" s="517">
        <f t="shared" si="159"/>
        <v>0</v>
      </c>
      <c r="G438" s="520"/>
    </row>
    <row r="439" spans="1:30" s="513" customFormat="1" x14ac:dyDescent="0.25">
      <c r="A439" s="514" t="s">
        <v>42</v>
      </c>
      <c r="B439" s="512" t="s">
        <v>889</v>
      </c>
      <c r="C439" s="516">
        <v>800</v>
      </c>
      <c r="D439" s="517">
        <f>D440</f>
        <v>500</v>
      </c>
      <c r="E439" s="517">
        <f t="shared" ref="E439:F439" si="160">E440</f>
        <v>0</v>
      </c>
      <c r="F439" s="517">
        <f t="shared" si="160"/>
        <v>0</v>
      </c>
      <c r="G439" s="520"/>
    </row>
    <row r="440" spans="1:30" s="513" customFormat="1" ht="31.5" x14ac:dyDescent="0.25">
      <c r="A440" s="514" t="s">
        <v>121</v>
      </c>
      <c r="B440" s="512" t="s">
        <v>889</v>
      </c>
      <c r="C440" s="516">
        <v>810</v>
      </c>
      <c r="D440" s="517">
        <f>'Функц. 2025-2027'!F396</f>
        <v>500</v>
      </c>
      <c r="E440" s="517">
        <f>'Функц. 2025-2027'!H396</f>
        <v>0</v>
      </c>
      <c r="F440" s="517">
        <f>'Функц. 2025-2027'!J396</f>
        <v>0</v>
      </c>
      <c r="G440" s="520"/>
    </row>
    <row r="441" spans="1:30" s="134" customFormat="1" x14ac:dyDescent="0.25">
      <c r="A441" s="395" t="s">
        <v>186</v>
      </c>
      <c r="B441" s="620" t="s">
        <v>112</v>
      </c>
      <c r="C441" s="598"/>
      <c r="D441" s="30">
        <f>D442+D478+D473</f>
        <v>526249.80000000005</v>
      </c>
      <c r="E441" s="30">
        <f>E442+E478+E473</f>
        <v>328725.90000000002</v>
      </c>
      <c r="F441" s="30">
        <f>F442+F478+F473</f>
        <v>325479.19999999995</v>
      </c>
      <c r="G441" s="152"/>
    </row>
    <row r="442" spans="1:30" x14ac:dyDescent="0.25">
      <c r="A442" s="275" t="s">
        <v>529</v>
      </c>
      <c r="B442" s="156" t="s">
        <v>113</v>
      </c>
      <c r="C442" s="444"/>
      <c r="D442" s="27">
        <f>D443+D456+D462</f>
        <v>84952.8</v>
      </c>
      <c r="E442" s="27">
        <f>E443+E456+E462</f>
        <v>49987.7</v>
      </c>
      <c r="F442" s="27">
        <f>F443+F456+F462</f>
        <v>35660.6</v>
      </c>
      <c r="G442" s="152"/>
    </row>
    <row r="443" spans="1:30" ht="31.5" x14ac:dyDescent="0.25">
      <c r="A443" s="277" t="s">
        <v>182</v>
      </c>
      <c r="B443" s="156" t="s">
        <v>183</v>
      </c>
      <c r="C443" s="444"/>
      <c r="D443" s="27">
        <f>D444+D453</f>
        <v>55795.5</v>
      </c>
      <c r="E443" s="27">
        <f>E444+E453</f>
        <v>22827.1</v>
      </c>
      <c r="F443" s="27">
        <f>F444+F453</f>
        <v>8500</v>
      </c>
      <c r="G443" s="152"/>
    </row>
    <row r="444" spans="1:30" ht="32.25" customHeight="1" x14ac:dyDescent="0.25">
      <c r="A444" s="276" t="s">
        <v>771</v>
      </c>
      <c r="B444" s="156" t="s">
        <v>185</v>
      </c>
      <c r="C444" s="407"/>
      <c r="D444" s="27">
        <f>D445+D447+D449+D451</f>
        <v>32291.8</v>
      </c>
      <c r="E444" s="517">
        <f t="shared" ref="E444:F444" si="161">E445+E447+E449+E451</f>
        <v>14527.099999999999</v>
      </c>
      <c r="F444" s="517">
        <f t="shared" si="161"/>
        <v>200</v>
      </c>
      <c r="G444" s="517">
        <f t="shared" ref="G444:AD444" si="162">G445+G447+G449</f>
        <v>0</v>
      </c>
      <c r="H444" s="517">
        <f t="shared" si="162"/>
        <v>0</v>
      </c>
      <c r="I444" s="517">
        <f t="shared" si="162"/>
        <v>0</v>
      </c>
      <c r="J444" s="517">
        <f t="shared" si="162"/>
        <v>0</v>
      </c>
      <c r="K444" s="517">
        <f t="shared" si="162"/>
        <v>0</v>
      </c>
      <c r="L444" s="517">
        <f t="shared" si="162"/>
        <v>0</v>
      </c>
      <c r="M444" s="517">
        <f t="shared" si="162"/>
        <v>0</v>
      </c>
      <c r="N444" s="517">
        <f t="shared" si="162"/>
        <v>0</v>
      </c>
      <c r="O444" s="517">
        <f t="shared" si="162"/>
        <v>0</v>
      </c>
      <c r="P444" s="517">
        <f t="shared" si="162"/>
        <v>0</v>
      </c>
      <c r="Q444" s="517">
        <f t="shared" si="162"/>
        <v>0</v>
      </c>
      <c r="R444" s="517">
        <f t="shared" si="162"/>
        <v>0</v>
      </c>
      <c r="S444" s="517">
        <f t="shared" si="162"/>
        <v>0</v>
      </c>
      <c r="T444" s="517">
        <f t="shared" si="162"/>
        <v>0</v>
      </c>
      <c r="U444" s="517">
        <f t="shared" si="162"/>
        <v>0</v>
      </c>
      <c r="V444" s="517">
        <f t="shared" si="162"/>
        <v>0</v>
      </c>
      <c r="W444" s="517">
        <f t="shared" si="162"/>
        <v>0</v>
      </c>
      <c r="X444" s="517">
        <f t="shared" si="162"/>
        <v>0</v>
      </c>
      <c r="Y444" s="517">
        <f t="shared" si="162"/>
        <v>0</v>
      </c>
      <c r="Z444" s="517">
        <f t="shared" si="162"/>
        <v>0</v>
      </c>
      <c r="AA444" s="517">
        <f t="shared" si="162"/>
        <v>0</v>
      </c>
      <c r="AB444" s="517">
        <f t="shared" si="162"/>
        <v>0</v>
      </c>
      <c r="AC444" s="517">
        <f t="shared" si="162"/>
        <v>0</v>
      </c>
      <c r="AD444" s="517">
        <f t="shared" si="162"/>
        <v>0</v>
      </c>
    </row>
    <row r="445" spans="1:30" x14ac:dyDescent="0.25">
      <c r="A445" s="273" t="s">
        <v>120</v>
      </c>
      <c r="B445" s="156" t="s">
        <v>185</v>
      </c>
      <c r="C445" s="444">
        <v>200</v>
      </c>
      <c r="D445" s="27">
        <f>D446</f>
        <v>15898.4</v>
      </c>
      <c r="E445" s="27">
        <f>E446</f>
        <v>700</v>
      </c>
      <c r="F445" s="27">
        <f>F446</f>
        <v>200</v>
      </c>
      <c r="G445" s="152"/>
    </row>
    <row r="446" spans="1:30" x14ac:dyDescent="0.25">
      <c r="A446" s="273" t="s">
        <v>52</v>
      </c>
      <c r="B446" s="156" t="s">
        <v>185</v>
      </c>
      <c r="C446" s="444">
        <v>240</v>
      </c>
      <c r="D446" s="27">
        <f>'Функц. 2025-2027'!F136</f>
        <v>15898.4</v>
      </c>
      <c r="E446" s="27">
        <f>'Функц. 2025-2027'!H136</f>
        <v>700</v>
      </c>
      <c r="F446" s="27">
        <f>'Функц. 2025-2027'!J136</f>
        <v>200</v>
      </c>
      <c r="G446" s="152"/>
    </row>
    <row r="447" spans="1:30" s="177" customFormat="1" x14ac:dyDescent="0.25">
      <c r="A447" s="273" t="s">
        <v>97</v>
      </c>
      <c r="B447" s="156" t="s">
        <v>185</v>
      </c>
      <c r="C447" s="444">
        <v>300</v>
      </c>
      <c r="D447" s="27">
        <f>D448</f>
        <v>2233.2999999999997</v>
      </c>
      <c r="E447" s="167">
        <f>E448</f>
        <v>2279.1999999999998</v>
      </c>
      <c r="F447" s="27">
        <f>F448</f>
        <v>0</v>
      </c>
      <c r="G447" s="152"/>
    </row>
    <row r="448" spans="1:30" s="177" customFormat="1" x14ac:dyDescent="0.25">
      <c r="A448" s="523" t="s">
        <v>420</v>
      </c>
      <c r="B448" s="156" t="s">
        <v>185</v>
      </c>
      <c r="C448" s="444">
        <v>360</v>
      </c>
      <c r="D448" s="27">
        <f>'Функц. 2025-2027'!F138</f>
        <v>2233.2999999999997</v>
      </c>
      <c r="E448" s="27">
        <f>'Функц. 2025-2027'!H138</f>
        <v>2279.1999999999998</v>
      </c>
      <c r="F448" s="27">
        <f>'Функц. 2025-2027'!J138</f>
        <v>0</v>
      </c>
      <c r="G448" s="152"/>
    </row>
    <row r="449" spans="1:7" s="177" customFormat="1" ht="31.5" x14ac:dyDescent="0.25">
      <c r="A449" s="375" t="s">
        <v>60</v>
      </c>
      <c r="B449" s="156" t="s">
        <v>185</v>
      </c>
      <c r="C449" s="444">
        <v>600</v>
      </c>
      <c r="D449" s="27">
        <f>D450</f>
        <v>11547.9</v>
      </c>
      <c r="E449" s="27">
        <f>E450</f>
        <v>11547.9</v>
      </c>
      <c r="F449" s="27">
        <f>F450</f>
        <v>0</v>
      </c>
      <c r="G449" s="152"/>
    </row>
    <row r="450" spans="1:7" s="177" customFormat="1" x14ac:dyDescent="0.25">
      <c r="A450" s="375" t="s">
        <v>61</v>
      </c>
      <c r="B450" s="156" t="s">
        <v>185</v>
      </c>
      <c r="C450" s="444">
        <v>610</v>
      </c>
      <c r="D450" s="27">
        <f>'Функц. 2025-2027'!F140</f>
        <v>11547.9</v>
      </c>
      <c r="E450" s="27">
        <f>'Функц. 2025-2027'!H140</f>
        <v>11547.9</v>
      </c>
      <c r="F450" s="27">
        <f>'Функц. 2025-2027'!J140</f>
        <v>0</v>
      </c>
      <c r="G450" s="152"/>
    </row>
    <row r="451" spans="1:7" s="519" customFormat="1" x14ac:dyDescent="0.25">
      <c r="A451" s="451" t="s">
        <v>42</v>
      </c>
      <c r="B451" s="156" t="s">
        <v>185</v>
      </c>
      <c r="C451" s="326">
        <v>800</v>
      </c>
      <c r="D451" s="517">
        <f>D452</f>
        <v>2612.1999999999998</v>
      </c>
      <c r="E451" s="517">
        <f t="shared" ref="E451:F451" si="163">E452</f>
        <v>0</v>
      </c>
      <c r="F451" s="517">
        <f t="shared" si="163"/>
        <v>0</v>
      </c>
      <c r="G451" s="520"/>
    </row>
    <row r="452" spans="1:7" s="519" customFormat="1" x14ac:dyDescent="0.25">
      <c r="A452" s="451" t="s">
        <v>57</v>
      </c>
      <c r="B452" s="156" t="s">
        <v>185</v>
      </c>
      <c r="C452" s="326">
        <v>850</v>
      </c>
      <c r="D452" s="517">
        <f>'Функц. 2025-2027'!F142</f>
        <v>2612.1999999999998</v>
      </c>
      <c r="E452" s="517">
        <f>'Функц. 2025-2027'!H142</f>
        <v>0</v>
      </c>
      <c r="F452" s="517">
        <f>'Функц. 2025-2027'!J142</f>
        <v>0</v>
      </c>
      <c r="G452" s="520"/>
    </row>
    <row r="453" spans="1:7" s="177" customFormat="1" x14ac:dyDescent="0.25">
      <c r="A453" s="258" t="s">
        <v>432</v>
      </c>
      <c r="B453" s="156" t="s">
        <v>385</v>
      </c>
      <c r="C453" s="444"/>
      <c r="D453" s="27">
        <f t="shared" ref="D453:F454" si="164">D454</f>
        <v>23503.7</v>
      </c>
      <c r="E453" s="27">
        <f t="shared" si="164"/>
        <v>8300</v>
      </c>
      <c r="F453" s="27">
        <f t="shared" si="164"/>
        <v>8300</v>
      </c>
      <c r="G453" s="152"/>
    </row>
    <row r="454" spans="1:7" x14ac:dyDescent="0.25">
      <c r="A454" s="273" t="s">
        <v>120</v>
      </c>
      <c r="B454" s="156" t="s">
        <v>385</v>
      </c>
      <c r="C454" s="605">
        <v>200</v>
      </c>
      <c r="D454" s="27">
        <f t="shared" si="164"/>
        <v>23503.7</v>
      </c>
      <c r="E454" s="27">
        <f t="shared" si="164"/>
        <v>8300</v>
      </c>
      <c r="F454" s="27">
        <f t="shared" si="164"/>
        <v>8300</v>
      </c>
      <c r="G454" s="152"/>
    </row>
    <row r="455" spans="1:7" x14ac:dyDescent="0.25">
      <c r="A455" s="273" t="s">
        <v>52</v>
      </c>
      <c r="B455" s="156" t="s">
        <v>385</v>
      </c>
      <c r="C455" s="605">
        <v>240</v>
      </c>
      <c r="D455" s="27">
        <f>'Функц. 2025-2027'!F404</f>
        <v>23503.7</v>
      </c>
      <c r="E455" s="27">
        <f>'Функц. 2025-2027'!H404</f>
        <v>8300</v>
      </c>
      <c r="F455" s="27">
        <f>'Функц. 2025-2027'!J404</f>
        <v>8300</v>
      </c>
      <c r="G455" s="152"/>
    </row>
    <row r="456" spans="1:7" ht="47.25" x14ac:dyDescent="0.25">
      <c r="A456" s="466" t="s">
        <v>719</v>
      </c>
      <c r="B456" s="156" t="s">
        <v>187</v>
      </c>
      <c r="C456" s="606"/>
      <c r="D456" s="27">
        <f>D457</f>
        <v>1643</v>
      </c>
      <c r="E456" s="27">
        <f>E457</f>
        <v>1643.0000000000002</v>
      </c>
      <c r="F456" s="27">
        <f>F457</f>
        <v>1643.0000000000002</v>
      </c>
      <c r="G456" s="152"/>
    </row>
    <row r="457" spans="1:7" ht="47.25" x14ac:dyDescent="0.25">
      <c r="A457" s="277" t="s">
        <v>610</v>
      </c>
      <c r="B457" s="156" t="s">
        <v>609</v>
      </c>
      <c r="C457" s="606"/>
      <c r="D457" s="27">
        <f>D459+D460</f>
        <v>1643</v>
      </c>
      <c r="E457" s="27">
        <f>E459+E460</f>
        <v>1643.0000000000002</v>
      </c>
      <c r="F457" s="27">
        <f>F459+F460</f>
        <v>1643.0000000000002</v>
      </c>
      <c r="G457" s="152"/>
    </row>
    <row r="458" spans="1:7" ht="47.25" x14ac:dyDescent="0.25">
      <c r="A458" s="273" t="s">
        <v>41</v>
      </c>
      <c r="B458" s="156" t="s">
        <v>609</v>
      </c>
      <c r="C458" s="606">
        <v>100</v>
      </c>
      <c r="D458" s="27">
        <f>D459</f>
        <v>1539.9</v>
      </c>
      <c r="E458" s="27">
        <f>E459</f>
        <v>1627.3000000000002</v>
      </c>
      <c r="F458" s="27">
        <f>F459</f>
        <v>1627.3000000000002</v>
      </c>
      <c r="G458" s="152"/>
    </row>
    <row r="459" spans="1:7" x14ac:dyDescent="0.25">
      <c r="A459" s="393" t="s">
        <v>96</v>
      </c>
      <c r="B459" s="156" t="s">
        <v>609</v>
      </c>
      <c r="C459" s="606">
        <v>120</v>
      </c>
      <c r="D459" s="27">
        <f>'Функц. 2025-2027'!F146</f>
        <v>1539.9</v>
      </c>
      <c r="E459" s="27">
        <f>'Функц. 2025-2027'!H146</f>
        <v>1627.3000000000002</v>
      </c>
      <c r="F459" s="27">
        <f>'Функц. 2025-2027'!J146</f>
        <v>1627.3000000000002</v>
      </c>
      <c r="G459" s="152"/>
    </row>
    <row r="460" spans="1:7" x14ac:dyDescent="0.25">
      <c r="A460" s="393" t="s">
        <v>120</v>
      </c>
      <c r="B460" s="156" t="s">
        <v>609</v>
      </c>
      <c r="C460" s="606">
        <v>200</v>
      </c>
      <c r="D460" s="27">
        <f>D461</f>
        <v>103.10000000000001</v>
      </c>
      <c r="E460" s="27">
        <f>E461</f>
        <v>15.7</v>
      </c>
      <c r="F460" s="27">
        <f>F461</f>
        <v>15.7</v>
      </c>
      <c r="G460" s="152"/>
    </row>
    <row r="461" spans="1:7" x14ac:dyDescent="0.25">
      <c r="A461" s="393" t="s">
        <v>52</v>
      </c>
      <c r="B461" s="156" t="s">
        <v>609</v>
      </c>
      <c r="C461" s="606">
        <v>240</v>
      </c>
      <c r="D461" s="27">
        <f>'Функц. 2025-2027'!F148</f>
        <v>103.10000000000001</v>
      </c>
      <c r="E461" s="27">
        <f>'Функц. 2025-2027'!H148</f>
        <v>15.7</v>
      </c>
      <c r="F461" s="27">
        <f>'Функц. 2025-2027'!J148</f>
        <v>15.7</v>
      </c>
      <c r="G461" s="152"/>
    </row>
    <row r="462" spans="1:7" ht="31.5" x14ac:dyDescent="0.25">
      <c r="A462" s="275" t="s">
        <v>327</v>
      </c>
      <c r="B462" s="156" t="s">
        <v>458</v>
      </c>
      <c r="C462" s="606"/>
      <c r="D462" s="27">
        <f>D463</f>
        <v>27514.300000000003</v>
      </c>
      <c r="E462" s="27">
        <f>E463</f>
        <v>25517.599999999999</v>
      </c>
      <c r="F462" s="27">
        <f>F463</f>
        <v>25517.599999999999</v>
      </c>
      <c r="G462" s="152"/>
    </row>
    <row r="463" spans="1:7" x14ac:dyDescent="0.25">
      <c r="A463" s="275" t="s">
        <v>205</v>
      </c>
      <c r="B463" s="156" t="s">
        <v>459</v>
      </c>
      <c r="C463" s="444"/>
      <c r="D463" s="27">
        <f>D464+D467+D470</f>
        <v>27514.300000000003</v>
      </c>
      <c r="E463" s="27">
        <f>E464+E467+E470</f>
        <v>25517.599999999999</v>
      </c>
      <c r="F463" s="27">
        <f>F464+F467+F470</f>
        <v>25517.599999999999</v>
      </c>
      <c r="G463" s="152"/>
    </row>
    <row r="464" spans="1:7" ht="31.5" x14ac:dyDescent="0.25">
      <c r="A464" s="275" t="s">
        <v>206</v>
      </c>
      <c r="B464" s="156" t="s">
        <v>460</v>
      </c>
      <c r="C464" s="444"/>
      <c r="D464" s="27">
        <f t="shared" ref="D464:F465" si="165">D465</f>
        <v>3600.8</v>
      </c>
      <c r="E464" s="27">
        <f t="shared" si="165"/>
        <v>1785.8</v>
      </c>
      <c r="F464" s="27">
        <f t="shared" si="165"/>
        <v>1785.8</v>
      </c>
      <c r="G464" s="152"/>
    </row>
    <row r="465" spans="1:7" x14ac:dyDescent="0.25">
      <c r="A465" s="273" t="s">
        <v>120</v>
      </c>
      <c r="B465" s="156" t="s">
        <v>460</v>
      </c>
      <c r="C465" s="444">
        <v>200</v>
      </c>
      <c r="D465" s="27">
        <f t="shared" si="165"/>
        <v>3600.8</v>
      </c>
      <c r="E465" s="27">
        <f t="shared" si="165"/>
        <v>1785.8</v>
      </c>
      <c r="F465" s="27">
        <f t="shared" si="165"/>
        <v>1785.8</v>
      </c>
      <c r="G465" s="152"/>
    </row>
    <row r="466" spans="1:7" x14ac:dyDescent="0.25">
      <c r="A466" s="273" t="s">
        <v>52</v>
      </c>
      <c r="B466" s="156" t="s">
        <v>460</v>
      </c>
      <c r="C466" s="444">
        <v>240</v>
      </c>
      <c r="D466" s="27">
        <f>'Функц. 2025-2027'!F153</f>
        <v>3600.8</v>
      </c>
      <c r="E466" s="27">
        <f>'Функц. 2025-2027'!H153</f>
        <v>1785.8</v>
      </c>
      <c r="F466" s="27">
        <f>'Функц. 2025-2027'!J153</f>
        <v>1785.8</v>
      </c>
      <c r="G466" s="152"/>
    </row>
    <row r="467" spans="1:7" ht="31.5" x14ac:dyDescent="0.25">
      <c r="A467" s="273" t="s">
        <v>207</v>
      </c>
      <c r="B467" s="26" t="str">
        <f>B468</f>
        <v>12 1 04 00132</v>
      </c>
      <c r="C467" s="444"/>
      <c r="D467" s="27">
        <f t="shared" ref="D467:F468" si="166">D468</f>
        <v>8234.4</v>
      </c>
      <c r="E467" s="27">
        <f t="shared" si="166"/>
        <v>8211.2999999999993</v>
      </c>
      <c r="F467" s="27">
        <f t="shared" si="166"/>
        <v>8211.2999999999993</v>
      </c>
      <c r="G467" s="152"/>
    </row>
    <row r="468" spans="1:7" ht="47.25" x14ac:dyDescent="0.25">
      <c r="A468" s="273" t="s">
        <v>41</v>
      </c>
      <c r="B468" s="26" t="str">
        <f>B469</f>
        <v>12 1 04 00132</v>
      </c>
      <c r="C468" s="444">
        <v>100</v>
      </c>
      <c r="D468" s="27">
        <f t="shared" si="166"/>
        <v>8234.4</v>
      </c>
      <c r="E468" s="27">
        <f t="shared" si="166"/>
        <v>8211.2999999999993</v>
      </c>
      <c r="F468" s="27">
        <f t="shared" si="166"/>
        <v>8211.2999999999993</v>
      </c>
      <c r="G468" s="152"/>
    </row>
    <row r="469" spans="1:7" x14ac:dyDescent="0.25">
      <c r="A469" s="273" t="s">
        <v>96</v>
      </c>
      <c r="B469" s="156" t="s">
        <v>461</v>
      </c>
      <c r="C469" s="444">
        <v>120</v>
      </c>
      <c r="D469" s="27">
        <f>'Функц. 2025-2027'!F156</f>
        <v>8234.4</v>
      </c>
      <c r="E469" s="27">
        <f>'Функц. 2025-2027'!H156</f>
        <v>8211.2999999999993</v>
      </c>
      <c r="F469" s="27">
        <f>'Функц. 2025-2027'!J156</f>
        <v>8211.2999999999993</v>
      </c>
      <c r="G469" s="152"/>
    </row>
    <row r="470" spans="1:7" ht="31.5" x14ac:dyDescent="0.25">
      <c r="A470" s="273" t="s">
        <v>208</v>
      </c>
      <c r="B470" s="26" t="str">
        <f>B471</f>
        <v>12 1 04 00133</v>
      </c>
      <c r="C470" s="444"/>
      <c r="D470" s="27">
        <f t="shared" ref="D470:F471" si="167">D471</f>
        <v>15679.1</v>
      </c>
      <c r="E470" s="27">
        <f t="shared" si="167"/>
        <v>15520.5</v>
      </c>
      <c r="F470" s="27">
        <f t="shared" si="167"/>
        <v>15520.5</v>
      </c>
      <c r="G470" s="152"/>
    </row>
    <row r="471" spans="1:7" ht="47.25" x14ac:dyDescent="0.25">
      <c r="A471" s="273" t="s">
        <v>41</v>
      </c>
      <c r="B471" s="26" t="str">
        <f>B472</f>
        <v>12 1 04 00133</v>
      </c>
      <c r="C471" s="444">
        <v>100</v>
      </c>
      <c r="D471" s="27">
        <f t="shared" si="167"/>
        <v>15679.1</v>
      </c>
      <c r="E471" s="27">
        <f t="shared" si="167"/>
        <v>15520.5</v>
      </c>
      <c r="F471" s="27">
        <f t="shared" si="167"/>
        <v>15520.5</v>
      </c>
      <c r="G471" s="152"/>
    </row>
    <row r="472" spans="1:7" x14ac:dyDescent="0.25">
      <c r="A472" s="273" t="s">
        <v>96</v>
      </c>
      <c r="B472" s="156" t="s">
        <v>462</v>
      </c>
      <c r="C472" s="444">
        <v>120</v>
      </c>
      <c r="D472" s="27">
        <f>'Функц. 2025-2027'!F159</f>
        <v>15679.1</v>
      </c>
      <c r="E472" s="27">
        <f>'Функц. 2025-2027'!H159</f>
        <v>15520.5</v>
      </c>
      <c r="F472" s="27">
        <f>'Функц. 2025-2027'!J159</f>
        <v>15520.5</v>
      </c>
      <c r="G472" s="152"/>
    </row>
    <row r="473" spans="1:7" x14ac:dyDescent="0.25">
      <c r="A473" s="275" t="s">
        <v>530</v>
      </c>
      <c r="B473" s="156" t="s">
        <v>404</v>
      </c>
      <c r="C473" s="444"/>
      <c r="D473" s="27">
        <f t="shared" ref="D473:F476" si="168">D474</f>
        <v>4534.5</v>
      </c>
      <c r="E473" s="27">
        <f t="shared" si="168"/>
        <v>40146.5</v>
      </c>
      <c r="F473" s="27">
        <f t="shared" si="168"/>
        <v>53573.599999999999</v>
      </c>
      <c r="G473" s="152"/>
    </row>
    <row r="474" spans="1:7" ht="31.5" x14ac:dyDescent="0.25">
      <c r="A474" s="277" t="s">
        <v>531</v>
      </c>
      <c r="B474" s="156" t="s">
        <v>406</v>
      </c>
      <c r="C474" s="444"/>
      <c r="D474" s="27">
        <f t="shared" si="168"/>
        <v>4534.5</v>
      </c>
      <c r="E474" s="27">
        <f t="shared" si="168"/>
        <v>40146.5</v>
      </c>
      <c r="F474" s="27">
        <f t="shared" si="168"/>
        <v>53573.599999999999</v>
      </c>
      <c r="G474" s="152"/>
    </row>
    <row r="475" spans="1:7" x14ac:dyDescent="0.25">
      <c r="A475" s="275" t="s">
        <v>188</v>
      </c>
      <c r="B475" s="156" t="s">
        <v>532</v>
      </c>
      <c r="C475" s="444"/>
      <c r="D475" s="27">
        <f t="shared" si="168"/>
        <v>4534.5</v>
      </c>
      <c r="E475" s="27">
        <f t="shared" si="168"/>
        <v>40146.5</v>
      </c>
      <c r="F475" s="27">
        <f t="shared" si="168"/>
        <v>53573.599999999999</v>
      </c>
      <c r="G475" s="152"/>
    </row>
    <row r="476" spans="1:7" x14ac:dyDescent="0.25">
      <c r="A476" s="273" t="s">
        <v>67</v>
      </c>
      <c r="B476" s="156" t="s">
        <v>532</v>
      </c>
      <c r="C476" s="444">
        <v>700</v>
      </c>
      <c r="D476" s="27">
        <f t="shared" si="168"/>
        <v>4534.5</v>
      </c>
      <c r="E476" s="27">
        <f t="shared" si="168"/>
        <v>40146.5</v>
      </c>
      <c r="F476" s="27">
        <f t="shared" si="168"/>
        <v>53573.599999999999</v>
      </c>
      <c r="G476" s="152"/>
    </row>
    <row r="477" spans="1:7" x14ac:dyDescent="0.25">
      <c r="A477" s="399" t="s">
        <v>354</v>
      </c>
      <c r="B477" s="156" t="s">
        <v>532</v>
      </c>
      <c r="C477" s="444">
        <v>730</v>
      </c>
      <c r="D477" s="27">
        <f>'Функц. 2025-2027'!F982</f>
        <v>4534.5</v>
      </c>
      <c r="E477" s="27">
        <f>'Функц. 2025-2027'!H982</f>
        <v>40146.5</v>
      </c>
      <c r="F477" s="27">
        <f>'Функц. 2025-2027'!J982</f>
        <v>53573.599999999999</v>
      </c>
      <c r="G477" s="152"/>
    </row>
    <row r="478" spans="1:7" x14ac:dyDescent="0.25">
      <c r="A478" s="275" t="s">
        <v>189</v>
      </c>
      <c r="B478" s="156" t="s">
        <v>190</v>
      </c>
      <c r="C478" s="407"/>
      <c r="D478" s="27">
        <f>D479+D546</f>
        <v>436762.50000000006</v>
      </c>
      <c r="E478" s="27">
        <f>E479+E546</f>
        <v>238591.7</v>
      </c>
      <c r="F478" s="27">
        <f>F479+F546</f>
        <v>236245</v>
      </c>
      <c r="G478" s="152"/>
    </row>
    <row r="479" spans="1:7" ht="31.5" x14ac:dyDescent="0.25">
      <c r="A479" s="275" t="s">
        <v>191</v>
      </c>
      <c r="B479" s="156" t="s">
        <v>192</v>
      </c>
      <c r="C479" s="407"/>
      <c r="D479" s="27">
        <f>D480+D483+D507+D513+D523+D530+D497+D516+D510</f>
        <v>435498.20000000007</v>
      </c>
      <c r="E479" s="517">
        <f t="shared" ref="E479:F479" si="169">E480+E483+E507+E513+E523+E530+E497+E516+E510</f>
        <v>237761.6</v>
      </c>
      <c r="F479" s="517">
        <f t="shared" si="169"/>
        <v>235261.6</v>
      </c>
      <c r="G479" s="152"/>
    </row>
    <row r="480" spans="1:7" x14ac:dyDescent="0.25">
      <c r="A480" s="275" t="s">
        <v>193</v>
      </c>
      <c r="B480" s="156" t="s">
        <v>194</v>
      </c>
      <c r="C480" s="407"/>
      <c r="D480" s="27">
        <f t="shared" ref="D480:F481" si="170">D481</f>
        <v>9374.2999999999993</v>
      </c>
      <c r="E480" s="27">
        <f t="shared" si="170"/>
        <v>3451.3</v>
      </c>
      <c r="F480" s="27">
        <f t="shared" si="170"/>
        <v>3451.3</v>
      </c>
      <c r="G480" s="152"/>
    </row>
    <row r="481" spans="1:30" ht="47.25" x14ac:dyDescent="0.25">
      <c r="A481" s="273" t="s">
        <v>41</v>
      </c>
      <c r="B481" s="156" t="s">
        <v>194</v>
      </c>
      <c r="C481" s="407">
        <v>100</v>
      </c>
      <c r="D481" s="27">
        <f t="shared" si="170"/>
        <v>9374.2999999999993</v>
      </c>
      <c r="E481" s="27">
        <f t="shared" si="170"/>
        <v>3451.3</v>
      </c>
      <c r="F481" s="27">
        <f t="shared" si="170"/>
        <v>3451.3</v>
      </c>
      <c r="G481" s="152"/>
    </row>
    <row r="482" spans="1:30" x14ac:dyDescent="0.25">
      <c r="A482" s="273" t="s">
        <v>96</v>
      </c>
      <c r="B482" s="156" t="s">
        <v>194</v>
      </c>
      <c r="C482" s="407">
        <v>120</v>
      </c>
      <c r="D482" s="27">
        <f>'Функц. 2025-2027'!F22</f>
        <v>9374.2999999999993</v>
      </c>
      <c r="E482" s="27">
        <f>'Функц. 2025-2027'!H22</f>
        <v>3451.3</v>
      </c>
      <c r="F482" s="27">
        <f>'Функц. 2025-2027'!J22</f>
        <v>3451.3</v>
      </c>
      <c r="G482" s="152"/>
    </row>
    <row r="483" spans="1:30" x14ac:dyDescent="0.25">
      <c r="A483" s="275" t="s">
        <v>195</v>
      </c>
      <c r="B483" s="156" t="s">
        <v>196</v>
      </c>
      <c r="C483" s="444"/>
      <c r="D483" s="27">
        <f>D484+D491+D494</f>
        <v>112309.5</v>
      </c>
      <c r="E483" s="27">
        <f>E484+E491+E494</f>
        <v>94783</v>
      </c>
      <c r="F483" s="27">
        <f>F484+F491+F494</f>
        <v>92283</v>
      </c>
      <c r="G483" s="152"/>
    </row>
    <row r="484" spans="1:30" ht="31.5" x14ac:dyDescent="0.25">
      <c r="A484" s="400" t="s">
        <v>197</v>
      </c>
      <c r="B484" s="156" t="s">
        <v>198</v>
      </c>
      <c r="C484" s="444"/>
      <c r="D484" s="27">
        <f>D487+D485+D489</f>
        <v>11341.099999999999</v>
      </c>
      <c r="E484" s="517">
        <f t="shared" ref="E484:F484" si="171">E487+E485+E489</f>
        <v>11987.3</v>
      </c>
      <c r="F484" s="517">
        <f t="shared" si="171"/>
        <v>9487.2999999999993</v>
      </c>
      <c r="G484" s="152"/>
    </row>
    <row r="485" spans="1:30" s="177" customFormat="1" ht="47.25" x14ac:dyDescent="0.25">
      <c r="A485" s="273" t="s">
        <v>41</v>
      </c>
      <c r="B485" s="156" t="s">
        <v>198</v>
      </c>
      <c r="C485" s="407">
        <v>100</v>
      </c>
      <c r="D485" s="27">
        <f>D486</f>
        <v>50</v>
      </c>
      <c r="E485" s="27">
        <f>E486</f>
        <v>50</v>
      </c>
      <c r="F485" s="27">
        <f>F486</f>
        <v>50</v>
      </c>
      <c r="G485" s="152"/>
    </row>
    <row r="486" spans="1:30" s="177" customFormat="1" x14ac:dyDescent="0.25">
      <c r="A486" s="273" t="s">
        <v>96</v>
      </c>
      <c r="B486" s="156" t="s">
        <v>198</v>
      </c>
      <c r="C486" s="407">
        <v>120</v>
      </c>
      <c r="D486" s="27">
        <f>'Функц. 2025-2027'!F67</f>
        <v>50</v>
      </c>
      <c r="E486" s="27">
        <f>'Функц. 2025-2027'!H67</f>
        <v>50</v>
      </c>
      <c r="F486" s="27">
        <f>'Функц. 2025-2027'!J67</f>
        <v>50</v>
      </c>
      <c r="G486" s="152"/>
    </row>
    <row r="487" spans="1:30" x14ac:dyDescent="0.25">
      <c r="A487" s="273" t="s">
        <v>120</v>
      </c>
      <c r="B487" s="156" t="s">
        <v>198</v>
      </c>
      <c r="C487" s="444">
        <v>200</v>
      </c>
      <c r="D487" s="27">
        <f>D488</f>
        <v>11290.999999999998</v>
      </c>
      <c r="E487" s="27">
        <f>E488</f>
        <v>11937.3</v>
      </c>
      <c r="F487" s="27">
        <f>F488</f>
        <v>9437.2999999999993</v>
      </c>
      <c r="G487" s="152"/>
    </row>
    <row r="488" spans="1:30" x14ac:dyDescent="0.25">
      <c r="A488" s="273" t="s">
        <v>52</v>
      </c>
      <c r="B488" s="156" t="s">
        <v>198</v>
      </c>
      <c r="C488" s="444">
        <v>240</v>
      </c>
      <c r="D488" s="27">
        <f>'Функц. 2025-2027'!F69+'Функц. 2025-2027'!F165</f>
        <v>11290.999999999998</v>
      </c>
      <c r="E488" s="27">
        <f>'Функц. 2025-2027'!H69+'Функц. 2025-2027'!H165</f>
        <v>11937.3</v>
      </c>
      <c r="F488" s="27">
        <f>'Функц. 2025-2027'!J69+'Функц. 2025-2027'!J165</f>
        <v>9437.2999999999993</v>
      </c>
      <c r="G488" s="152"/>
    </row>
    <row r="489" spans="1:30" s="519" customFormat="1" x14ac:dyDescent="0.25">
      <c r="A489" s="451" t="s">
        <v>42</v>
      </c>
      <c r="B489" s="156" t="s">
        <v>198</v>
      </c>
      <c r="C489" s="444">
        <v>800</v>
      </c>
      <c r="D489" s="517">
        <f>D490</f>
        <v>0.1</v>
      </c>
      <c r="E489" s="517">
        <f t="shared" ref="E489:AD489" si="172">E490</f>
        <v>0</v>
      </c>
      <c r="F489" s="517">
        <f t="shared" si="172"/>
        <v>0</v>
      </c>
      <c r="G489" s="517">
        <f t="shared" si="172"/>
        <v>0</v>
      </c>
      <c r="H489" s="517">
        <f t="shared" si="172"/>
        <v>0</v>
      </c>
      <c r="I489" s="517">
        <f t="shared" si="172"/>
        <v>0</v>
      </c>
      <c r="J489" s="517">
        <f t="shared" si="172"/>
        <v>0</v>
      </c>
      <c r="K489" s="517">
        <f t="shared" si="172"/>
        <v>0</v>
      </c>
      <c r="L489" s="517">
        <f t="shared" si="172"/>
        <v>0</v>
      </c>
      <c r="M489" s="517">
        <f t="shared" si="172"/>
        <v>0</v>
      </c>
      <c r="N489" s="517">
        <f t="shared" si="172"/>
        <v>0</v>
      </c>
      <c r="O489" s="517">
        <f t="shared" si="172"/>
        <v>0</v>
      </c>
      <c r="P489" s="517">
        <f t="shared" si="172"/>
        <v>0</v>
      </c>
      <c r="Q489" s="517">
        <f t="shared" si="172"/>
        <v>0</v>
      </c>
      <c r="R489" s="517">
        <f t="shared" si="172"/>
        <v>0</v>
      </c>
      <c r="S489" s="517">
        <f t="shared" si="172"/>
        <v>0</v>
      </c>
      <c r="T489" s="517">
        <f t="shared" si="172"/>
        <v>0</v>
      </c>
      <c r="U489" s="517">
        <f t="shared" si="172"/>
        <v>0</v>
      </c>
      <c r="V489" s="517">
        <f t="shared" si="172"/>
        <v>0</v>
      </c>
      <c r="W489" s="517">
        <f t="shared" si="172"/>
        <v>0</v>
      </c>
      <c r="X489" s="517">
        <f t="shared" si="172"/>
        <v>0</v>
      </c>
      <c r="Y489" s="517">
        <f t="shared" si="172"/>
        <v>0</v>
      </c>
      <c r="Z489" s="517">
        <f t="shared" si="172"/>
        <v>0</v>
      </c>
      <c r="AA489" s="517">
        <f t="shared" si="172"/>
        <v>0</v>
      </c>
      <c r="AB489" s="517">
        <f t="shared" si="172"/>
        <v>0</v>
      </c>
      <c r="AC489" s="517">
        <f t="shared" si="172"/>
        <v>0</v>
      </c>
      <c r="AD489" s="517">
        <f t="shared" si="172"/>
        <v>0</v>
      </c>
    </row>
    <row r="490" spans="1:30" s="519" customFormat="1" x14ac:dyDescent="0.25">
      <c r="A490" s="451" t="s">
        <v>57</v>
      </c>
      <c r="B490" s="156" t="s">
        <v>198</v>
      </c>
      <c r="C490" s="444">
        <v>850</v>
      </c>
      <c r="D490" s="517">
        <f>'Функц. 2025-2027'!F71</f>
        <v>0.1</v>
      </c>
      <c r="E490" s="517">
        <f>'Функц. 2025-2027'!H71</f>
        <v>0</v>
      </c>
      <c r="F490" s="517">
        <f>'Функц. 2025-2027'!J71</f>
        <v>0</v>
      </c>
      <c r="G490" s="520"/>
    </row>
    <row r="491" spans="1:30" ht="31.5" x14ac:dyDescent="0.25">
      <c r="A491" s="273" t="s">
        <v>199</v>
      </c>
      <c r="B491" s="156" t="s">
        <v>200</v>
      </c>
      <c r="C491" s="407"/>
      <c r="D491" s="27">
        <f t="shared" ref="D491:F492" si="173">D492</f>
        <v>28421.4</v>
      </c>
      <c r="E491" s="27">
        <f t="shared" si="173"/>
        <v>28421.4</v>
      </c>
      <c r="F491" s="27">
        <f t="shared" si="173"/>
        <v>28421.4</v>
      </c>
      <c r="G491" s="152"/>
    </row>
    <row r="492" spans="1:30" ht="47.25" x14ac:dyDescent="0.25">
      <c r="A492" s="273" t="s">
        <v>41</v>
      </c>
      <c r="B492" s="156" t="s">
        <v>200</v>
      </c>
      <c r="C492" s="407">
        <v>100</v>
      </c>
      <c r="D492" s="27">
        <f t="shared" si="173"/>
        <v>28421.4</v>
      </c>
      <c r="E492" s="27">
        <f t="shared" si="173"/>
        <v>28421.4</v>
      </c>
      <c r="F492" s="27">
        <f t="shared" si="173"/>
        <v>28421.4</v>
      </c>
      <c r="G492" s="152"/>
    </row>
    <row r="493" spans="1:30" x14ac:dyDescent="0.25">
      <c r="A493" s="273" t="s">
        <v>96</v>
      </c>
      <c r="B493" s="156" t="s">
        <v>200</v>
      </c>
      <c r="C493" s="444">
        <v>120</v>
      </c>
      <c r="D493" s="27">
        <f>'Функц. 2025-2027'!F74</f>
        <v>28421.4</v>
      </c>
      <c r="E493" s="27">
        <f>'Функц. 2025-2027'!H74</f>
        <v>28421.4</v>
      </c>
      <c r="F493" s="27">
        <f>'Функц. 2025-2027'!J74</f>
        <v>28421.4</v>
      </c>
      <c r="G493" s="152"/>
    </row>
    <row r="494" spans="1:30" ht="31.5" x14ac:dyDescent="0.25">
      <c r="A494" s="273" t="s">
        <v>201</v>
      </c>
      <c r="B494" s="156" t="s">
        <v>202</v>
      </c>
      <c r="C494" s="407"/>
      <c r="D494" s="27">
        <f t="shared" ref="D494:F495" si="174">D495</f>
        <v>72547</v>
      </c>
      <c r="E494" s="27">
        <f t="shared" si="174"/>
        <v>54374.3</v>
      </c>
      <c r="F494" s="27">
        <f t="shared" si="174"/>
        <v>54374.3</v>
      </c>
      <c r="G494" s="152"/>
    </row>
    <row r="495" spans="1:30" ht="47.25" x14ac:dyDescent="0.25">
      <c r="A495" s="273" t="s">
        <v>41</v>
      </c>
      <c r="B495" s="156" t="s">
        <v>202</v>
      </c>
      <c r="C495" s="407">
        <v>100</v>
      </c>
      <c r="D495" s="27">
        <f t="shared" si="174"/>
        <v>72547</v>
      </c>
      <c r="E495" s="27">
        <f t="shared" si="174"/>
        <v>54374.3</v>
      </c>
      <c r="F495" s="27">
        <f t="shared" si="174"/>
        <v>54374.3</v>
      </c>
      <c r="G495" s="152"/>
    </row>
    <row r="496" spans="1:30" x14ac:dyDescent="0.25">
      <c r="A496" s="273" t="s">
        <v>96</v>
      </c>
      <c r="B496" s="156" t="s">
        <v>202</v>
      </c>
      <c r="C496" s="444">
        <v>120</v>
      </c>
      <c r="D496" s="27">
        <f>'Функц. 2025-2027'!F77</f>
        <v>72547</v>
      </c>
      <c r="E496" s="27">
        <f>'Функц. 2025-2027'!H77</f>
        <v>54374.3</v>
      </c>
      <c r="F496" s="27">
        <f>'Функц. 2025-2027'!J77</f>
        <v>54374.3</v>
      </c>
      <c r="G496" s="152"/>
    </row>
    <row r="497" spans="1:7" x14ac:dyDescent="0.25">
      <c r="A497" s="276" t="s">
        <v>209</v>
      </c>
      <c r="B497" s="281" t="s">
        <v>210</v>
      </c>
      <c r="C497" s="444"/>
      <c r="D497" s="27">
        <f>D498+D501+D504</f>
        <v>31825.4</v>
      </c>
      <c r="E497" s="27">
        <f>E498+E501+E504</f>
        <v>31765.600000000002</v>
      </c>
      <c r="F497" s="27">
        <f>F498+F501+F504</f>
        <v>31765.600000000002</v>
      </c>
      <c r="G497" s="152"/>
    </row>
    <row r="498" spans="1:7" ht="31.5" x14ac:dyDescent="0.25">
      <c r="A498" s="273" t="s">
        <v>211</v>
      </c>
      <c r="B498" s="281" t="s">
        <v>212</v>
      </c>
      <c r="C498" s="444"/>
      <c r="D498" s="27">
        <f>D499</f>
        <v>3669.3</v>
      </c>
      <c r="E498" s="517">
        <f t="shared" ref="E498:F498" si="175">E499</f>
        <v>3657.8</v>
      </c>
      <c r="F498" s="517">
        <f t="shared" si="175"/>
        <v>3657.8</v>
      </c>
      <c r="G498" s="152"/>
    </row>
    <row r="499" spans="1:7" x14ac:dyDescent="0.25">
      <c r="A499" s="273" t="s">
        <v>120</v>
      </c>
      <c r="B499" s="281" t="s">
        <v>212</v>
      </c>
      <c r="C499" s="444">
        <v>200</v>
      </c>
      <c r="D499" s="27">
        <f>D500</f>
        <v>3669.3</v>
      </c>
      <c r="E499" s="27">
        <f>E500</f>
        <v>3657.8</v>
      </c>
      <c r="F499" s="27">
        <f>F500</f>
        <v>3657.8</v>
      </c>
      <c r="G499" s="152"/>
    </row>
    <row r="500" spans="1:7" x14ac:dyDescent="0.25">
      <c r="A500" s="273" t="s">
        <v>52</v>
      </c>
      <c r="B500" s="281" t="s">
        <v>212</v>
      </c>
      <c r="C500" s="444">
        <v>240</v>
      </c>
      <c r="D500" s="27">
        <f>'Функц. 2025-2027'!F95</f>
        <v>3669.3</v>
      </c>
      <c r="E500" s="27">
        <f>'Функц. 2025-2027'!H95</f>
        <v>3657.8</v>
      </c>
      <c r="F500" s="27">
        <f>'Функц. 2025-2027'!J95</f>
        <v>3657.8</v>
      </c>
      <c r="G500" s="152"/>
    </row>
    <row r="501" spans="1:7" ht="31.5" x14ac:dyDescent="0.25">
      <c r="A501" s="273" t="s">
        <v>216</v>
      </c>
      <c r="B501" s="26" t="str">
        <f>B502</f>
        <v>12 5 01 00162</v>
      </c>
      <c r="C501" s="444"/>
      <c r="D501" s="27">
        <f t="shared" ref="D501:F502" si="176">D502</f>
        <v>15536.1</v>
      </c>
      <c r="E501" s="27">
        <f t="shared" si="176"/>
        <v>15536.1</v>
      </c>
      <c r="F501" s="27">
        <f t="shared" si="176"/>
        <v>15536.1</v>
      </c>
      <c r="G501" s="152"/>
    </row>
    <row r="502" spans="1:7" ht="47.25" x14ac:dyDescent="0.25">
      <c r="A502" s="273" t="s">
        <v>41</v>
      </c>
      <c r="B502" s="26" t="str">
        <f>B503</f>
        <v>12 5 01 00162</v>
      </c>
      <c r="C502" s="444">
        <v>100</v>
      </c>
      <c r="D502" s="27">
        <f t="shared" si="176"/>
        <v>15536.1</v>
      </c>
      <c r="E502" s="27">
        <f t="shared" si="176"/>
        <v>15536.1</v>
      </c>
      <c r="F502" s="27">
        <f t="shared" si="176"/>
        <v>15536.1</v>
      </c>
      <c r="G502" s="152"/>
    </row>
    <row r="503" spans="1:7" x14ac:dyDescent="0.25">
      <c r="A503" s="273" t="s">
        <v>96</v>
      </c>
      <c r="B503" s="281" t="s">
        <v>213</v>
      </c>
      <c r="C503" s="444">
        <v>120</v>
      </c>
      <c r="D503" s="27">
        <f>'Функц. 2025-2027'!F98</f>
        <v>15536.1</v>
      </c>
      <c r="E503" s="27">
        <f>'Функц. 2025-2027'!H98</f>
        <v>15536.1</v>
      </c>
      <c r="F503" s="27">
        <f>'Функц. 2025-2027'!J98</f>
        <v>15536.1</v>
      </c>
      <c r="G503" s="152"/>
    </row>
    <row r="504" spans="1:7" ht="31.5" x14ac:dyDescent="0.25">
      <c r="A504" s="273" t="s">
        <v>215</v>
      </c>
      <c r="B504" s="26" t="str">
        <f>B505</f>
        <v>12 5 01 00163</v>
      </c>
      <c r="C504" s="444"/>
      <c r="D504" s="27">
        <f t="shared" ref="D504:F505" si="177">D505</f>
        <v>12620</v>
      </c>
      <c r="E504" s="27">
        <f t="shared" si="177"/>
        <v>12571.7</v>
      </c>
      <c r="F504" s="27">
        <f t="shared" si="177"/>
        <v>12571.7</v>
      </c>
      <c r="G504" s="152"/>
    </row>
    <row r="505" spans="1:7" ht="47.25" x14ac:dyDescent="0.25">
      <c r="A505" s="273" t="s">
        <v>41</v>
      </c>
      <c r="B505" s="26" t="str">
        <f>B506</f>
        <v>12 5 01 00163</v>
      </c>
      <c r="C505" s="444">
        <v>100</v>
      </c>
      <c r="D505" s="27">
        <f t="shared" si="177"/>
        <v>12620</v>
      </c>
      <c r="E505" s="27">
        <f t="shared" si="177"/>
        <v>12571.7</v>
      </c>
      <c r="F505" s="27">
        <f t="shared" si="177"/>
        <v>12571.7</v>
      </c>
      <c r="G505" s="152"/>
    </row>
    <row r="506" spans="1:7" x14ac:dyDescent="0.25">
      <c r="A506" s="273" t="s">
        <v>96</v>
      </c>
      <c r="B506" s="281" t="s">
        <v>214</v>
      </c>
      <c r="C506" s="444">
        <v>120</v>
      </c>
      <c r="D506" s="27">
        <f>'Функц. 2025-2027'!F101</f>
        <v>12620</v>
      </c>
      <c r="E506" s="27">
        <f>'Функц. 2025-2027'!H101</f>
        <v>12571.7</v>
      </c>
      <c r="F506" s="27">
        <f>'Функц. 2025-2027'!J101</f>
        <v>12571.7</v>
      </c>
      <c r="G506" s="152"/>
    </row>
    <row r="507" spans="1:7" x14ac:dyDescent="0.25">
      <c r="A507" s="276" t="s">
        <v>221</v>
      </c>
      <c r="B507" s="281" t="s">
        <v>222</v>
      </c>
      <c r="C507" s="593"/>
      <c r="D507" s="27">
        <f t="shared" ref="D507:F508" si="178">D508</f>
        <v>650</v>
      </c>
      <c r="E507" s="27">
        <f t="shared" si="178"/>
        <v>74</v>
      </c>
      <c r="F507" s="27">
        <f t="shared" si="178"/>
        <v>74</v>
      </c>
      <c r="G507" s="152"/>
    </row>
    <row r="508" spans="1:7" x14ac:dyDescent="0.25">
      <c r="A508" s="273" t="s">
        <v>120</v>
      </c>
      <c r="B508" s="281" t="s">
        <v>222</v>
      </c>
      <c r="C508" s="601">
        <v>200</v>
      </c>
      <c r="D508" s="27">
        <f t="shared" si="178"/>
        <v>650</v>
      </c>
      <c r="E508" s="27">
        <f t="shared" si="178"/>
        <v>74</v>
      </c>
      <c r="F508" s="27">
        <f t="shared" si="178"/>
        <v>74</v>
      </c>
      <c r="G508" s="152"/>
    </row>
    <row r="509" spans="1:7" x14ac:dyDescent="0.25">
      <c r="A509" s="273" t="s">
        <v>52</v>
      </c>
      <c r="B509" s="281" t="s">
        <v>222</v>
      </c>
      <c r="C509" s="601">
        <v>240</v>
      </c>
      <c r="D509" s="27">
        <f>'Функц. 2025-2027'!F237</f>
        <v>650</v>
      </c>
      <c r="E509" s="27">
        <f>'Функц. 2025-2027'!H237</f>
        <v>74</v>
      </c>
      <c r="F509" s="27">
        <f>'Функц. 2025-2027'!J237</f>
        <v>74</v>
      </c>
      <c r="G509" s="152"/>
    </row>
    <row r="510" spans="1:7" s="519" customFormat="1" x14ac:dyDescent="0.25">
      <c r="A510" s="451" t="s">
        <v>818</v>
      </c>
      <c r="B510" s="542" t="s">
        <v>819</v>
      </c>
      <c r="C510" s="454"/>
      <c r="D510" s="517">
        <f>D511</f>
        <v>98000</v>
      </c>
      <c r="E510" s="517">
        <f t="shared" ref="E510:F511" si="179">E511</f>
        <v>0</v>
      </c>
      <c r="F510" s="517">
        <f t="shared" si="179"/>
        <v>0</v>
      </c>
      <c r="G510" s="520"/>
    </row>
    <row r="511" spans="1:7" s="519" customFormat="1" x14ac:dyDescent="0.25">
      <c r="A511" s="451" t="s">
        <v>42</v>
      </c>
      <c r="B511" s="542" t="s">
        <v>819</v>
      </c>
      <c r="C511" s="454">
        <v>800</v>
      </c>
      <c r="D511" s="517">
        <f>D512</f>
        <v>98000</v>
      </c>
      <c r="E511" s="517">
        <f t="shared" si="179"/>
        <v>0</v>
      </c>
      <c r="F511" s="517">
        <f t="shared" si="179"/>
        <v>0</v>
      </c>
      <c r="G511" s="520"/>
    </row>
    <row r="512" spans="1:7" s="519" customFormat="1" ht="31.5" x14ac:dyDescent="0.25">
      <c r="A512" s="451" t="s">
        <v>121</v>
      </c>
      <c r="B512" s="542" t="s">
        <v>819</v>
      </c>
      <c r="C512" s="454">
        <v>810</v>
      </c>
      <c r="D512" s="517">
        <f>'Функц. 2025-2027'!F476</f>
        <v>98000</v>
      </c>
      <c r="E512" s="517">
        <f>'Функц. 2025-2027'!H476</f>
        <v>0</v>
      </c>
      <c r="F512" s="517">
        <f>'Функц. 2025-2027'!J475</f>
        <v>0</v>
      </c>
      <c r="G512" s="520"/>
    </row>
    <row r="513" spans="1:30" x14ac:dyDescent="0.25">
      <c r="A513" s="276" t="s">
        <v>223</v>
      </c>
      <c r="B513" s="281" t="s">
        <v>224</v>
      </c>
      <c r="C513" s="444"/>
      <c r="D513" s="27">
        <f t="shared" ref="D513:F514" si="180">D514</f>
        <v>160</v>
      </c>
      <c r="E513" s="27">
        <f t="shared" si="180"/>
        <v>160</v>
      </c>
      <c r="F513" s="27">
        <f t="shared" si="180"/>
        <v>160</v>
      </c>
      <c r="G513" s="152"/>
    </row>
    <row r="514" spans="1:30" x14ac:dyDescent="0.25">
      <c r="A514" s="273" t="s">
        <v>42</v>
      </c>
      <c r="B514" s="281" t="s">
        <v>224</v>
      </c>
      <c r="C514" s="444">
        <v>800</v>
      </c>
      <c r="D514" s="27">
        <f t="shared" si="180"/>
        <v>160</v>
      </c>
      <c r="E514" s="27">
        <f t="shared" si="180"/>
        <v>160</v>
      </c>
      <c r="F514" s="27">
        <f t="shared" si="180"/>
        <v>160</v>
      </c>
      <c r="G514" s="152"/>
    </row>
    <row r="515" spans="1:30" x14ac:dyDescent="0.25">
      <c r="A515" s="273" t="s">
        <v>57</v>
      </c>
      <c r="B515" s="281" t="s">
        <v>224</v>
      </c>
      <c r="C515" s="444">
        <v>850</v>
      </c>
      <c r="D515" s="27">
        <f>'Функц. 2025-2027'!F168</f>
        <v>160</v>
      </c>
      <c r="E515" s="27">
        <f>'Функц. 2025-2027'!H168</f>
        <v>160</v>
      </c>
      <c r="F515" s="27">
        <f>'Функц. 2025-2027'!J168</f>
        <v>160</v>
      </c>
      <c r="G515" s="152"/>
    </row>
    <row r="516" spans="1:30" s="177" customFormat="1" ht="31.5" x14ac:dyDescent="0.25">
      <c r="A516" s="258" t="s">
        <v>550</v>
      </c>
      <c r="B516" s="281" t="s">
        <v>549</v>
      </c>
      <c r="C516" s="444"/>
      <c r="D516" s="27">
        <f>D517+D519+D521</f>
        <v>17438.399999999998</v>
      </c>
      <c r="E516" s="517">
        <f t="shared" ref="E516:F516" si="181">E517+E519+E521</f>
        <v>13813</v>
      </c>
      <c r="F516" s="517">
        <f t="shared" si="181"/>
        <v>13813</v>
      </c>
      <c r="G516" s="152"/>
    </row>
    <row r="517" spans="1:30" s="177" customFormat="1" ht="47.25" x14ac:dyDescent="0.25">
      <c r="A517" s="523" t="s">
        <v>41</v>
      </c>
      <c r="B517" s="281" t="s">
        <v>549</v>
      </c>
      <c r="C517" s="525" t="s">
        <v>127</v>
      </c>
      <c r="D517" s="27">
        <f>D518</f>
        <v>16527.099999999999</v>
      </c>
      <c r="E517" s="27">
        <f>E518</f>
        <v>12901.7</v>
      </c>
      <c r="F517" s="27">
        <f>F518</f>
        <v>12901.7</v>
      </c>
      <c r="G517" s="152"/>
    </row>
    <row r="518" spans="1:30" s="177" customFormat="1" x14ac:dyDescent="0.25">
      <c r="A518" s="523" t="s">
        <v>68</v>
      </c>
      <c r="B518" s="281" t="s">
        <v>549</v>
      </c>
      <c r="C518" s="525" t="s">
        <v>128</v>
      </c>
      <c r="D518" s="27">
        <f>'Функц. 2025-2027'!F171</f>
        <v>16527.099999999999</v>
      </c>
      <c r="E518" s="27">
        <f>'Функц. 2025-2027'!H171</f>
        <v>12901.7</v>
      </c>
      <c r="F518" s="27">
        <f>'Функц. 2025-2027'!J171</f>
        <v>12901.7</v>
      </c>
      <c r="G518" s="152"/>
    </row>
    <row r="519" spans="1:30" s="177" customFormat="1" x14ac:dyDescent="0.25">
      <c r="A519" s="523" t="s">
        <v>120</v>
      </c>
      <c r="B519" s="281" t="s">
        <v>549</v>
      </c>
      <c r="C519" s="525" t="s">
        <v>37</v>
      </c>
      <c r="D519" s="27">
        <f>D520</f>
        <v>911.19999999999993</v>
      </c>
      <c r="E519" s="27">
        <f>E520</f>
        <v>911.3</v>
      </c>
      <c r="F519" s="27">
        <f>F520</f>
        <v>911.3</v>
      </c>
      <c r="G519" s="152"/>
    </row>
    <row r="520" spans="1:30" s="177" customFormat="1" x14ac:dyDescent="0.25">
      <c r="A520" s="523" t="s">
        <v>52</v>
      </c>
      <c r="B520" s="281" t="s">
        <v>549</v>
      </c>
      <c r="C520" s="525" t="s">
        <v>65</v>
      </c>
      <c r="D520" s="27">
        <f>'Функц. 2025-2027'!F173</f>
        <v>911.19999999999993</v>
      </c>
      <c r="E520" s="27">
        <f>'Функц. 2025-2027'!H173</f>
        <v>911.3</v>
      </c>
      <c r="F520" s="27">
        <f>'Функц. 2025-2027'!J173</f>
        <v>911.3</v>
      </c>
      <c r="G520" s="152"/>
    </row>
    <row r="521" spans="1:30" s="519" customFormat="1" x14ac:dyDescent="0.25">
      <c r="A521" s="451" t="s">
        <v>42</v>
      </c>
      <c r="B521" s="281" t="s">
        <v>549</v>
      </c>
      <c r="C521" s="444">
        <v>800</v>
      </c>
      <c r="D521" s="517">
        <f>D522</f>
        <v>0.1</v>
      </c>
      <c r="E521" s="517">
        <f t="shared" ref="E521:AD521" si="182">E522</f>
        <v>0</v>
      </c>
      <c r="F521" s="517">
        <f t="shared" si="182"/>
        <v>0</v>
      </c>
      <c r="G521" s="517">
        <f t="shared" si="182"/>
        <v>0</v>
      </c>
      <c r="H521" s="517">
        <f t="shared" si="182"/>
        <v>0</v>
      </c>
      <c r="I521" s="517">
        <f t="shared" si="182"/>
        <v>0</v>
      </c>
      <c r="J521" s="517">
        <f t="shared" si="182"/>
        <v>0</v>
      </c>
      <c r="K521" s="517">
        <f t="shared" si="182"/>
        <v>0</v>
      </c>
      <c r="L521" s="517">
        <f t="shared" si="182"/>
        <v>0</v>
      </c>
      <c r="M521" s="517">
        <f t="shared" si="182"/>
        <v>0</v>
      </c>
      <c r="N521" s="517">
        <f t="shared" si="182"/>
        <v>0</v>
      </c>
      <c r="O521" s="517">
        <f t="shared" si="182"/>
        <v>0</v>
      </c>
      <c r="P521" s="517">
        <f t="shared" si="182"/>
        <v>0</v>
      </c>
      <c r="Q521" s="517">
        <f t="shared" si="182"/>
        <v>0</v>
      </c>
      <c r="R521" s="517">
        <f t="shared" si="182"/>
        <v>0</v>
      </c>
      <c r="S521" s="517">
        <f t="shared" si="182"/>
        <v>0</v>
      </c>
      <c r="T521" s="517">
        <f t="shared" si="182"/>
        <v>0</v>
      </c>
      <c r="U521" s="517">
        <f t="shared" si="182"/>
        <v>0</v>
      </c>
      <c r="V521" s="517">
        <f t="shared" si="182"/>
        <v>0</v>
      </c>
      <c r="W521" s="517">
        <f t="shared" si="182"/>
        <v>0</v>
      </c>
      <c r="X521" s="517">
        <f t="shared" si="182"/>
        <v>0</v>
      </c>
      <c r="Y521" s="517">
        <f t="shared" si="182"/>
        <v>0</v>
      </c>
      <c r="Z521" s="517">
        <f t="shared" si="182"/>
        <v>0</v>
      </c>
      <c r="AA521" s="517">
        <f t="shared" si="182"/>
        <v>0</v>
      </c>
      <c r="AB521" s="517">
        <f t="shared" si="182"/>
        <v>0</v>
      </c>
      <c r="AC521" s="517">
        <f t="shared" si="182"/>
        <v>0</v>
      </c>
      <c r="AD521" s="517">
        <f t="shared" si="182"/>
        <v>0</v>
      </c>
    </row>
    <row r="522" spans="1:30" s="519" customFormat="1" x14ac:dyDescent="0.25">
      <c r="A522" s="451" t="s">
        <v>57</v>
      </c>
      <c r="B522" s="281" t="s">
        <v>549</v>
      </c>
      <c r="C522" s="444">
        <v>850</v>
      </c>
      <c r="D522" s="517">
        <f>'Функц. 2025-2027'!F175</f>
        <v>0.1</v>
      </c>
      <c r="E522" s="517">
        <f>'Функц. 2025-2027'!H175</f>
        <v>0</v>
      </c>
      <c r="F522" s="517">
        <f>'Функц. 2025-2027'!J175</f>
        <v>0</v>
      </c>
      <c r="G522" s="520"/>
    </row>
    <row r="523" spans="1:30" ht="31.5" x14ac:dyDescent="0.25">
      <c r="A523" s="276" t="s">
        <v>217</v>
      </c>
      <c r="B523" s="281" t="s">
        <v>218</v>
      </c>
      <c r="C523" s="407"/>
      <c r="D523" s="27">
        <f>D528+D524+D526</f>
        <v>31934.3</v>
      </c>
      <c r="E523" s="517">
        <f t="shared" ref="E523:F523" si="183">E528+E524+E526</f>
        <v>26390.2</v>
      </c>
      <c r="F523" s="517">
        <f t="shared" si="183"/>
        <v>26390.2</v>
      </c>
      <c r="G523" s="152"/>
    </row>
    <row r="524" spans="1:30" s="519" customFormat="1" ht="47.25" x14ac:dyDescent="0.25">
      <c r="A524" s="375" t="s">
        <v>41</v>
      </c>
      <c r="B524" s="281" t="s">
        <v>218</v>
      </c>
      <c r="C524" s="473" t="s">
        <v>127</v>
      </c>
      <c r="D524" s="517">
        <f>D525</f>
        <v>18572.5</v>
      </c>
      <c r="E524" s="517">
        <f t="shared" ref="E524:F524" si="184">E525</f>
        <v>24918.400000000001</v>
      </c>
      <c r="F524" s="517">
        <f t="shared" si="184"/>
        <v>24918.400000000001</v>
      </c>
      <c r="G524" s="520"/>
    </row>
    <row r="525" spans="1:30" s="519" customFormat="1" x14ac:dyDescent="0.25">
      <c r="A525" s="375" t="s">
        <v>68</v>
      </c>
      <c r="B525" s="281" t="s">
        <v>218</v>
      </c>
      <c r="C525" s="473" t="s">
        <v>128</v>
      </c>
      <c r="D525" s="517">
        <f>'Функц. 2025-2027'!F178</f>
        <v>18572.5</v>
      </c>
      <c r="E525" s="517">
        <f>'Функц. 2025-2027'!H178</f>
        <v>24918.400000000001</v>
      </c>
      <c r="F525" s="517">
        <f>'Функц. 2025-2027'!J178</f>
        <v>24918.400000000001</v>
      </c>
      <c r="G525" s="520"/>
    </row>
    <row r="526" spans="1:30" s="519" customFormat="1" x14ac:dyDescent="0.25">
      <c r="A526" s="375" t="s">
        <v>120</v>
      </c>
      <c r="B526" s="281" t="s">
        <v>218</v>
      </c>
      <c r="C526" s="473" t="s">
        <v>37</v>
      </c>
      <c r="D526" s="517">
        <f>D527</f>
        <v>756.1</v>
      </c>
      <c r="E526" s="517">
        <f t="shared" ref="E526:F526" si="185">E527</f>
        <v>1471.8</v>
      </c>
      <c r="F526" s="517">
        <f t="shared" si="185"/>
        <v>1471.8</v>
      </c>
      <c r="G526" s="520"/>
    </row>
    <row r="527" spans="1:30" s="519" customFormat="1" x14ac:dyDescent="0.25">
      <c r="A527" s="375" t="s">
        <v>52</v>
      </c>
      <c r="B527" s="281" t="s">
        <v>218</v>
      </c>
      <c r="C527" s="473" t="s">
        <v>65</v>
      </c>
      <c r="D527" s="517">
        <f>'Функц. 2025-2027'!F180</f>
        <v>756.1</v>
      </c>
      <c r="E527" s="517">
        <f>'Функц. 2025-2027'!H180</f>
        <v>1471.8</v>
      </c>
      <c r="F527" s="517">
        <f>'Функц. 2025-2027'!J180</f>
        <v>1471.8</v>
      </c>
      <c r="G527" s="520"/>
    </row>
    <row r="528" spans="1:30" ht="31.5" x14ac:dyDescent="0.25">
      <c r="A528" s="273" t="s">
        <v>60</v>
      </c>
      <c r="B528" s="281" t="s">
        <v>218</v>
      </c>
      <c r="C528" s="607">
        <v>600</v>
      </c>
      <c r="D528" s="27">
        <f t="shared" ref="D528:F528" si="186">D529</f>
        <v>12605.7</v>
      </c>
      <c r="E528" s="27">
        <f t="shared" si="186"/>
        <v>0</v>
      </c>
      <c r="F528" s="27">
        <f t="shared" si="186"/>
        <v>0</v>
      </c>
      <c r="G528" s="152"/>
    </row>
    <row r="529" spans="1:30" x14ac:dyDescent="0.25">
      <c r="A529" s="273" t="s">
        <v>61</v>
      </c>
      <c r="B529" s="281" t="s">
        <v>218</v>
      </c>
      <c r="C529" s="607">
        <v>610</v>
      </c>
      <c r="D529" s="27">
        <f>'Функц. 2025-2027'!F182</f>
        <v>12605.7</v>
      </c>
      <c r="E529" s="27">
        <f>'Функц. 2025-2027'!H182</f>
        <v>0</v>
      </c>
      <c r="F529" s="27">
        <f>'Функц. 2025-2027'!J182</f>
        <v>0</v>
      </c>
      <c r="G529" s="152"/>
    </row>
    <row r="530" spans="1:30" ht="31.5" x14ac:dyDescent="0.25">
      <c r="A530" s="276" t="s">
        <v>203</v>
      </c>
      <c r="B530" s="281" t="s">
        <v>204</v>
      </c>
      <c r="C530" s="444"/>
      <c r="D530" s="27">
        <f>D531+D543+D536</f>
        <v>133806.29999999999</v>
      </c>
      <c r="E530" s="27">
        <f>E531+E543+E536</f>
        <v>67324.5</v>
      </c>
      <c r="F530" s="27">
        <f>F531+F543+F536</f>
        <v>67324.5</v>
      </c>
      <c r="G530" s="152"/>
    </row>
    <row r="531" spans="1:30" ht="47.25" x14ac:dyDescent="0.25">
      <c r="A531" s="273" t="s">
        <v>219</v>
      </c>
      <c r="B531" s="281" t="s">
        <v>220</v>
      </c>
      <c r="C531" s="525"/>
      <c r="D531" s="27">
        <f>D532+D534</f>
        <v>79325.799999999988</v>
      </c>
      <c r="E531" s="27">
        <f>E532+E534</f>
        <v>27679.600000000002</v>
      </c>
      <c r="F531" s="27">
        <f>F532+F534</f>
        <v>27679.600000000002</v>
      </c>
      <c r="G531" s="152"/>
    </row>
    <row r="532" spans="1:30" ht="47.25" x14ac:dyDescent="0.25">
      <c r="A532" s="273" t="s">
        <v>41</v>
      </c>
      <c r="B532" s="281" t="s">
        <v>220</v>
      </c>
      <c r="C532" s="525" t="s">
        <v>127</v>
      </c>
      <c r="D532" s="27">
        <f>D533</f>
        <v>78583.899999999994</v>
      </c>
      <c r="E532" s="27">
        <f>E533</f>
        <v>26937.7</v>
      </c>
      <c r="F532" s="27">
        <f>F533</f>
        <v>26937.7</v>
      </c>
      <c r="G532" s="152"/>
    </row>
    <row r="533" spans="1:30" x14ac:dyDescent="0.25">
      <c r="A533" s="273" t="s">
        <v>68</v>
      </c>
      <c r="B533" s="281" t="s">
        <v>220</v>
      </c>
      <c r="C533" s="525" t="s">
        <v>128</v>
      </c>
      <c r="D533" s="27">
        <f>'Функц. 2025-2027'!F186</f>
        <v>78583.899999999994</v>
      </c>
      <c r="E533" s="27">
        <f>'Функц. 2025-2027'!H186</f>
        <v>26937.7</v>
      </c>
      <c r="F533" s="27">
        <f>'Функц. 2025-2027'!J186</f>
        <v>26937.7</v>
      </c>
      <c r="G533" s="152"/>
    </row>
    <row r="534" spans="1:30" x14ac:dyDescent="0.25">
      <c r="A534" s="273" t="s">
        <v>120</v>
      </c>
      <c r="B534" s="281" t="s">
        <v>220</v>
      </c>
      <c r="C534" s="525" t="s">
        <v>37</v>
      </c>
      <c r="D534" s="27">
        <f>D535</f>
        <v>741.9</v>
      </c>
      <c r="E534" s="27">
        <f>E535</f>
        <v>741.9</v>
      </c>
      <c r="F534" s="27">
        <f>F535</f>
        <v>741.9</v>
      </c>
      <c r="G534" s="152"/>
    </row>
    <row r="535" spans="1:30" x14ac:dyDescent="0.25">
      <c r="A535" s="273" t="s">
        <v>52</v>
      </c>
      <c r="B535" s="281" t="s">
        <v>220</v>
      </c>
      <c r="C535" s="525" t="s">
        <v>65</v>
      </c>
      <c r="D535" s="27">
        <f>'Функц. 2025-2027'!F188</f>
        <v>741.9</v>
      </c>
      <c r="E535" s="32">
        <f>'Функц. 2025-2027'!H188</f>
        <v>741.9</v>
      </c>
      <c r="F535" s="32">
        <f>'Функц. 2025-2027'!J188</f>
        <v>741.9</v>
      </c>
      <c r="G535" s="152"/>
    </row>
    <row r="536" spans="1:30" s="177" customFormat="1" ht="47.25" x14ac:dyDescent="0.25">
      <c r="A536" s="273" t="s">
        <v>383</v>
      </c>
      <c r="B536" s="281" t="s">
        <v>384</v>
      </c>
      <c r="C536" s="525"/>
      <c r="D536" s="27">
        <f>D537+D539+D541</f>
        <v>19597.599999999999</v>
      </c>
      <c r="E536" s="517">
        <f t="shared" ref="E536:F536" si="187">E537+E539+E541</f>
        <v>9307.6</v>
      </c>
      <c r="F536" s="517">
        <f t="shared" si="187"/>
        <v>9307.6</v>
      </c>
      <c r="G536" s="152"/>
    </row>
    <row r="537" spans="1:30" s="177" customFormat="1" ht="47.25" x14ac:dyDescent="0.25">
      <c r="A537" s="273" t="s">
        <v>41</v>
      </c>
      <c r="B537" s="281" t="s">
        <v>384</v>
      </c>
      <c r="C537" s="525" t="s">
        <v>127</v>
      </c>
      <c r="D537" s="27">
        <f>D538</f>
        <v>18603.599999999999</v>
      </c>
      <c r="E537" s="27">
        <f>E538</f>
        <v>8603.6</v>
      </c>
      <c r="F537" s="27">
        <f>F538</f>
        <v>8603.6</v>
      </c>
      <c r="G537" s="152"/>
    </row>
    <row r="538" spans="1:30" s="177" customFormat="1" x14ac:dyDescent="0.25">
      <c r="A538" s="273" t="s">
        <v>68</v>
      </c>
      <c r="B538" s="281" t="s">
        <v>384</v>
      </c>
      <c r="C538" s="525" t="s">
        <v>128</v>
      </c>
      <c r="D538" s="27">
        <f>'Функц. 2025-2027'!F191</f>
        <v>18603.599999999999</v>
      </c>
      <c r="E538" s="27">
        <f>'Функц. 2025-2027'!H191</f>
        <v>8603.6</v>
      </c>
      <c r="F538" s="27">
        <f>'Функц. 2025-2027'!J191</f>
        <v>8603.6</v>
      </c>
      <c r="G538" s="152"/>
    </row>
    <row r="539" spans="1:30" s="177" customFormat="1" x14ac:dyDescent="0.25">
      <c r="A539" s="273" t="s">
        <v>120</v>
      </c>
      <c r="B539" s="281" t="s">
        <v>384</v>
      </c>
      <c r="C539" s="525" t="s">
        <v>37</v>
      </c>
      <c r="D539" s="27">
        <f>D540</f>
        <v>993.3</v>
      </c>
      <c r="E539" s="27">
        <f>E540</f>
        <v>704</v>
      </c>
      <c r="F539" s="27">
        <f>F540</f>
        <v>704</v>
      </c>
      <c r="G539" s="152"/>
    </row>
    <row r="540" spans="1:30" s="177" customFormat="1" x14ac:dyDescent="0.25">
      <c r="A540" s="273" t="s">
        <v>52</v>
      </c>
      <c r="B540" s="281" t="s">
        <v>384</v>
      </c>
      <c r="C540" s="525" t="s">
        <v>65</v>
      </c>
      <c r="D540" s="27">
        <f>'Функц. 2025-2027'!F193</f>
        <v>993.3</v>
      </c>
      <c r="E540" s="27">
        <f>'Функц. 2025-2027'!H193</f>
        <v>704</v>
      </c>
      <c r="F540" s="27">
        <f>'Функц. 2025-2027'!J193</f>
        <v>704</v>
      </c>
      <c r="G540" s="152"/>
    </row>
    <row r="541" spans="1:30" s="519" customFormat="1" x14ac:dyDescent="0.25">
      <c r="A541" s="451" t="s">
        <v>42</v>
      </c>
      <c r="B541" s="544" t="s">
        <v>384</v>
      </c>
      <c r="C541" s="473" t="s">
        <v>346</v>
      </c>
      <c r="D541" s="517">
        <f>D542</f>
        <v>0.7</v>
      </c>
      <c r="E541" s="517">
        <f t="shared" ref="E541:AD541" si="188">E542</f>
        <v>0</v>
      </c>
      <c r="F541" s="517">
        <f t="shared" si="188"/>
        <v>0</v>
      </c>
      <c r="G541" s="517">
        <f t="shared" si="188"/>
        <v>0</v>
      </c>
      <c r="H541" s="517">
        <f t="shared" si="188"/>
        <v>0</v>
      </c>
      <c r="I541" s="517">
        <f t="shared" si="188"/>
        <v>0</v>
      </c>
      <c r="J541" s="517">
        <f t="shared" si="188"/>
        <v>0</v>
      </c>
      <c r="K541" s="517">
        <f t="shared" si="188"/>
        <v>0</v>
      </c>
      <c r="L541" s="517">
        <f t="shared" si="188"/>
        <v>0</v>
      </c>
      <c r="M541" s="517">
        <f t="shared" si="188"/>
        <v>0</v>
      </c>
      <c r="N541" s="517">
        <f t="shared" si="188"/>
        <v>0</v>
      </c>
      <c r="O541" s="517">
        <f t="shared" si="188"/>
        <v>0</v>
      </c>
      <c r="P541" s="517">
        <f t="shared" si="188"/>
        <v>0</v>
      </c>
      <c r="Q541" s="517">
        <f t="shared" si="188"/>
        <v>0</v>
      </c>
      <c r="R541" s="517">
        <f t="shared" si="188"/>
        <v>0</v>
      </c>
      <c r="S541" s="517">
        <f t="shared" si="188"/>
        <v>0</v>
      </c>
      <c r="T541" s="517">
        <f t="shared" si="188"/>
        <v>0</v>
      </c>
      <c r="U541" s="517">
        <f t="shared" si="188"/>
        <v>0</v>
      </c>
      <c r="V541" s="517">
        <f t="shared" si="188"/>
        <v>0</v>
      </c>
      <c r="W541" s="517">
        <f t="shared" si="188"/>
        <v>0</v>
      </c>
      <c r="X541" s="517">
        <f t="shared" si="188"/>
        <v>0</v>
      </c>
      <c r="Y541" s="517">
        <f t="shared" si="188"/>
        <v>0</v>
      </c>
      <c r="Z541" s="517">
        <f t="shared" si="188"/>
        <v>0</v>
      </c>
      <c r="AA541" s="517">
        <f t="shared" si="188"/>
        <v>0</v>
      </c>
      <c r="AB541" s="517">
        <f t="shared" si="188"/>
        <v>0</v>
      </c>
      <c r="AC541" s="517">
        <f t="shared" si="188"/>
        <v>0</v>
      </c>
      <c r="AD541" s="517">
        <f t="shared" si="188"/>
        <v>0</v>
      </c>
    </row>
    <row r="542" spans="1:30" s="519" customFormat="1" x14ac:dyDescent="0.25">
      <c r="A542" s="451" t="s">
        <v>57</v>
      </c>
      <c r="B542" s="544" t="s">
        <v>384</v>
      </c>
      <c r="C542" s="473" t="s">
        <v>821</v>
      </c>
      <c r="D542" s="517">
        <f>'Функц. 2025-2027'!F195</f>
        <v>0.7</v>
      </c>
      <c r="E542" s="517">
        <f>'Функц. 2025-2027'!H195</f>
        <v>0</v>
      </c>
      <c r="F542" s="517">
        <f>'Функц. 2025-2027'!J195</f>
        <v>0</v>
      </c>
      <c r="G542" s="520"/>
    </row>
    <row r="543" spans="1:30" ht="47.25" x14ac:dyDescent="0.25">
      <c r="A543" s="258" t="s">
        <v>368</v>
      </c>
      <c r="B543" s="281" t="s">
        <v>316</v>
      </c>
      <c r="C543" s="606"/>
      <c r="D543" s="27">
        <f t="shared" ref="D543:F544" si="189">D544</f>
        <v>34882.9</v>
      </c>
      <c r="E543" s="27">
        <f t="shared" si="189"/>
        <v>30337.3</v>
      </c>
      <c r="F543" s="27">
        <f t="shared" si="189"/>
        <v>30337.3</v>
      </c>
      <c r="G543" s="152"/>
    </row>
    <row r="544" spans="1:30" ht="31.5" x14ac:dyDescent="0.25">
      <c r="A544" s="393" t="s">
        <v>60</v>
      </c>
      <c r="B544" s="281" t="s">
        <v>316</v>
      </c>
      <c r="C544" s="606">
        <v>600</v>
      </c>
      <c r="D544" s="27">
        <f t="shared" si="189"/>
        <v>34882.9</v>
      </c>
      <c r="E544" s="27">
        <f t="shared" si="189"/>
        <v>30337.3</v>
      </c>
      <c r="F544" s="27">
        <f t="shared" si="189"/>
        <v>30337.3</v>
      </c>
      <c r="G544" s="152"/>
    </row>
    <row r="545" spans="1:30" x14ac:dyDescent="0.25">
      <c r="A545" s="393" t="s">
        <v>61</v>
      </c>
      <c r="B545" s="281" t="s">
        <v>316</v>
      </c>
      <c r="C545" s="606">
        <v>610</v>
      </c>
      <c r="D545" s="27">
        <f>'Функц. 2025-2027'!F327</f>
        <v>34882.9</v>
      </c>
      <c r="E545" s="27">
        <f>'Функц. 2025-2027'!H327</f>
        <v>30337.3</v>
      </c>
      <c r="F545" s="27">
        <f>'Функц. 2025-2027'!J327</f>
        <v>30337.3</v>
      </c>
      <c r="G545" s="152"/>
    </row>
    <row r="546" spans="1:30" s="177" customFormat="1" ht="31.5" x14ac:dyDescent="0.25">
      <c r="A546" s="393" t="s">
        <v>533</v>
      </c>
      <c r="B546" s="281" t="s">
        <v>534</v>
      </c>
      <c r="C546" s="606"/>
      <c r="D546" s="27">
        <f t="shared" ref="D546:F548" si="190">D547</f>
        <v>1264.3000000000002</v>
      </c>
      <c r="E546" s="27">
        <f t="shared" si="190"/>
        <v>830.09999999999991</v>
      </c>
      <c r="F546" s="27">
        <f t="shared" si="190"/>
        <v>983.4</v>
      </c>
      <c r="G546" s="152"/>
    </row>
    <row r="547" spans="1:30" s="177" customFormat="1" ht="78.75" x14ac:dyDescent="0.25">
      <c r="A547" s="393" t="s">
        <v>405</v>
      </c>
      <c r="B547" s="281" t="s">
        <v>535</v>
      </c>
      <c r="C547" s="606"/>
      <c r="D547" s="27">
        <f t="shared" si="190"/>
        <v>1264.3000000000002</v>
      </c>
      <c r="E547" s="27">
        <f t="shared" si="190"/>
        <v>830.09999999999991</v>
      </c>
      <c r="F547" s="27">
        <f t="shared" si="190"/>
        <v>983.4</v>
      </c>
      <c r="G547" s="152"/>
    </row>
    <row r="548" spans="1:30" s="177" customFormat="1" x14ac:dyDescent="0.25">
      <c r="A548" s="523" t="s">
        <v>120</v>
      </c>
      <c r="B548" s="156" t="s">
        <v>535</v>
      </c>
      <c r="C548" s="444">
        <v>200</v>
      </c>
      <c r="D548" s="27">
        <f t="shared" si="190"/>
        <v>1264.3000000000002</v>
      </c>
      <c r="E548" s="27">
        <f t="shared" si="190"/>
        <v>830.09999999999991</v>
      </c>
      <c r="F548" s="27">
        <f t="shared" si="190"/>
        <v>983.4</v>
      </c>
      <c r="G548" s="152"/>
    </row>
    <row r="549" spans="1:30" s="177" customFormat="1" x14ac:dyDescent="0.25">
      <c r="A549" s="523" t="s">
        <v>52</v>
      </c>
      <c r="B549" s="156" t="s">
        <v>535</v>
      </c>
      <c r="C549" s="444">
        <v>240</v>
      </c>
      <c r="D549" s="27">
        <f>'Функц. 2025-2027'!F81+'Функц. 2025-2027'!F105+'Функц. 2025-2027'!F579+'Функц. 2025-2027'!F199+'Функц. 2025-2027'!F29+'Функц. 2025-2027'!F293+'Функц. 2025-2027'!F503</f>
        <v>1264.3000000000002</v>
      </c>
      <c r="E549" s="27">
        <f>'Функц. 2025-2027'!H81+'Функц. 2025-2027'!H579+'Функц. 2025-2027'!H199+'Функц. 2025-2027'!H105+'Функц. 2025-2027'!H293+'Функц. 2025-2027'!H503</f>
        <v>830.09999999999991</v>
      </c>
      <c r="F549" s="27">
        <f>'Функц. 2025-2027'!J81+'Функц. 2025-2027'!J579+'Функц. 2025-2027'!J199+'Функц. 2025-2027'!J105+'Функц. 2025-2027'!J293+'ведом. 2025-2027'!AF325</f>
        <v>983.4</v>
      </c>
      <c r="G549" s="152"/>
    </row>
    <row r="550" spans="1:30" ht="31.5" x14ac:dyDescent="0.25">
      <c r="A550" s="396" t="s">
        <v>298</v>
      </c>
      <c r="B550" s="614" t="s">
        <v>132</v>
      </c>
      <c r="C550" s="600"/>
      <c r="D550" s="30">
        <f>D551+D566+D582+D577+D560</f>
        <v>24427.5</v>
      </c>
      <c r="E550" s="518">
        <f t="shared" ref="E550:AD550" si="191">E551+E566+E582+E577+E560</f>
        <v>12171</v>
      </c>
      <c r="F550" s="518">
        <f t="shared" si="191"/>
        <v>10164.5</v>
      </c>
      <c r="G550" s="518">
        <f t="shared" si="191"/>
        <v>0</v>
      </c>
      <c r="H550" s="518">
        <f t="shared" si="191"/>
        <v>0</v>
      </c>
      <c r="I550" s="518">
        <f t="shared" si="191"/>
        <v>0</v>
      </c>
      <c r="J550" s="518">
        <f t="shared" si="191"/>
        <v>0</v>
      </c>
      <c r="K550" s="518">
        <f t="shared" si="191"/>
        <v>0</v>
      </c>
      <c r="L550" s="518">
        <f t="shared" si="191"/>
        <v>0</v>
      </c>
      <c r="M550" s="518">
        <f t="shared" si="191"/>
        <v>0</v>
      </c>
      <c r="N550" s="518">
        <f t="shared" si="191"/>
        <v>0</v>
      </c>
      <c r="O550" s="518">
        <f t="shared" si="191"/>
        <v>0</v>
      </c>
      <c r="P550" s="518">
        <f t="shared" si="191"/>
        <v>0</v>
      </c>
      <c r="Q550" s="518">
        <f t="shared" si="191"/>
        <v>0</v>
      </c>
      <c r="R550" s="518">
        <f t="shared" si="191"/>
        <v>0</v>
      </c>
      <c r="S550" s="518">
        <f t="shared" si="191"/>
        <v>0</v>
      </c>
      <c r="T550" s="518">
        <f t="shared" si="191"/>
        <v>0</v>
      </c>
      <c r="U550" s="518">
        <f t="shared" si="191"/>
        <v>0</v>
      </c>
      <c r="V550" s="518">
        <f t="shared" si="191"/>
        <v>0</v>
      </c>
      <c r="W550" s="518">
        <f t="shared" si="191"/>
        <v>0</v>
      </c>
      <c r="X550" s="518">
        <f t="shared" si="191"/>
        <v>0</v>
      </c>
      <c r="Y550" s="518">
        <f t="shared" si="191"/>
        <v>0</v>
      </c>
      <c r="Z550" s="518">
        <f t="shared" si="191"/>
        <v>0</v>
      </c>
      <c r="AA550" s="518">
        <f t="shared" si="191"/>
        <v>0</v>
      </c>
      <c r="AB550" s="518">
        <f t="shared" si="191"/>
        <v>0</v>
      </c>
      <c r="AC550" s="518">
        <f t="shared" si="191"/>
        <v>0</v>
      </c>
      <c r="AD550" s="518">
        <f t="shared" si="191"/>
        <v>0</v>
      </c>
    </row>
    <row r="551" spans="1:30" ht="47.25" x14ac:dyDescent="0.25">
      <c r="A551" s="271" t="s">
        <v>514</v>
      </c>
      <c r="B551" s="156" t="s">
        <v>300</v>
      </c>
      <c r="C551" s="444"/>
      <c r="D551" s="27">
        <f>D552+D556</f>
        <v>11039.4</v>
      </c>
      <c r="E551" s="27">
        <f>E552+E556</f>
        <v>4365</v>
      </c>
      <c r="F551" s="27">
        <f>F552+F556</f>
        <v>3000</v>
      </c>
      <c r="G551" s="152"/>
    </row>
    <row r="552" spans="1:30" ht="31.5" x14ac:dyDescent="0.25">
      <c r="A552" s="272" t="s">
        <v>301</v>
      </c>
      <c r="B552" s="156" t="s">
        <v>302</v>
      </c>
      <c r="C552" s="444"/>
      <c r="D552" s="27">
        <f t="shared" ref="D552:F554" si="192">D553</f>
        <v>9658.4</v>
      </c>
      <c r="E552" s="27">
        <f t="shared" si="192"/>
        <v>3000</v>
      </c>
      <c r="F552" s="27">
        <f t="shared" si="192"/>
        <v>3000</v>
      </c>
      <c r="G552" s="152"/>
    </row>
    <row r="553" spans="1:30" ht="94.5" x14ac:dyDescent="0.25">
      <c r="A553" s="278" t="s">
        <v>676</v>
      </c>
      <c r="B553" s="281" t="s">
        <v>303</v>
      </c>
      <c r="C553" s="444"/>
      <c r="D553" s="27">
        <f t="shared" si="192"/>
        <v>9658.4</v>
      </c>
      <c r="E553" s="27">
        <f t="shared" si="192"/>
        <v>3000</v>
      </c>
      <c r="F553" s="27">
        <f t="shared" si="192"/>
        <v>3000</v>
      </c>
      <c r="G553" s="152"/>
    </row>
    <row r="554" spans="1:30" x14ac:dyDescent="0.25">
      <c r="A554" s="273" t="s">
        <v>120</v>
      </c>
      <c r="B554" s="281" t="s">
        <v>303</v>
      </c>
      <c r="C554" s="444">
        <v>200</v>
      </c>
      <c r="D554" s="27">
        <f t="shared" si="192"/>
        <v>9658.4</v>
      </c>
      <c r="E554" s="27">
        <f t="shared" si="192"/>
        <v>3000</v>
      </c>
      <c r="F554" s="27">
        <f t="shared" si="192"/>
        <v>3000</v>
      </c>
      <c r="G554" s="152"/>
    </row>
    <row r="555" spans="1:30" x14ac:dyDescent="0.25">
      <c r="A555" s="273" t="s">
        <v>52</v>
      </c>
      <c r="B555" s="281" t="s">
        <v>303</v>
      </c>
      <c r="C555" s="444">
        <v>240</v>
      </c>
      <c r="D555" s="27">
        <f>'Функц. 2025-2027'!F87</f>
        <v>9658.4</v>
      </c>
      <c r="E555" s="27">
        <f>'Функц. 2025-2027'!H87</f>
        <v>3000</v>
      </c>
      <c r="F555" s="27">
        <f>'Функц. 2025-2027'!J84</f>
        <v>3000</v>
      </c>
      <c r="G555" s="152"/>
    </row>
    <row r="556" spans="1:30" ht="31.5" x14ac:dyDescent="0.25">
      <c r="A556" s="278" t="s">
        <v>304</v>
      </c>
      <c r="B556" s="156" t="s">
        <v>305</v>
      </c>
      <c r="C556" s="444"/>
      <c r="D556" s="27">
        <f t="shared" ref="D556:F558" si="193">D557</f>
        <v>1381</v>
      </c>
      <c r="E556" s="27">
        <f t="shared" si="193"/>
        <v>1365</v>
      </c>
      <c r="F556" s="27">
        <f t="shared" si="193"/>
        <v>0</v>
      </c>
      <c r="G556" s="152"/>
    </row>
    <row r="557" spans="1:30" ht="47.25" x14ac:dyDescent="0.25">
      <c r="A557" s="272" t="s">
        <v>351</v>
      </c>
      <c r="B557" s="156" t="s">
        <v>306</v>
      </c>
      <c r="C557" s="444"/>
      <c r="D557" s="27">
        <f t="shared" si="193"/>
        <v>1381</v>
      </c>
      <c r="E557" s="27">
        <f t="shared" si="193"/>
        <v>1365</v>
      </c>
      <c r="F557" s="27">
        <f t="shared" si="193"/>
        <v>0</v>
      </c>
      <c r="G557" s="152"/>
    </row>
    <row r="558" spans="1:30" x14ac:dyDescent="0.25">
      <c r="A558" s="273" t="s">
        <v>120</v>
      </c>
      <c r="B558" s="156" t="s">
        <v>306</v>
      </c>
      <c r="C558" s="444">
        <v>200</v>
      </c>
      <c r="D558" s="27">
        <f t="shared" si="193"/>
        <v>1381</v>
      </c>
      <c r="E558" s="27">
        <f t="shared" si="193"/>
        <v>1365</v>
      </c>
      <c r="F558" s="27">
        <f t="shared" si="193"/>
        <v>0</v>
      </c>
      <c r="G558" s="152"/>
    </row>
    <row r="559" spans="1:30" x14ac:dyDescent="0.25">
      <c r="A559" s="273" t="s">
        <v>52</v>
      </c>
      <c r="B559" s="156" t="s">
        <v>306</v>
      </c>
      <c r="C559" s="444">
        <v>240</v>
      </c>
      <c r="D559" s="27">
        <f>'Функц. 2025-2027'!F509</f>
        <v>1381</v>
      </c>
      <c r="E559" s="27">
        <f>'Функц. 2025-2027'!H509</f>
        <v>1365</v>
      </c>
      <c r="F559" s="27">
        <f>'Функц. 2025-2027'!J509</f>
        <v>0</v>
      </c>
      <c r="G559" s="152"/>
    </row>
    <row r="560" spans="1:30" s="519" customFormat="1" x14ac:dyDescent="0.25">
      <c r="A560" s="523" t="s">
        <v>851</v>
      </c>
      <c r="B560" s="156" t="s">
        <v>852</v>
      </c>
      <c r="C560" s="575"/>
      <c r="D560" s="517">
        <f>D561</f>
        <v>6000</v>
      </c>
      <c r="E560" s="517">
        <f t="shared" ref="E560:F560" si="194">E561</f>
        <v>0</v>
      </c>
      <c r="F560" s="517">
        <f t="shared" si="194"/>
        <v>0</v>
      </c>
      <c r="G560" s="520"/>
    </row>
    <row r="561" spans="1:7" s="519" customFormat="1" x14ac:dyDescent="0.25">
      <c r="A561" s="523" t="s">
        <v>854</v>
      </c>
      <c r="B561" s="156" t="s">
        <v>853</v>
      </c>
      <c r="C561" s="575"/>
      <c r="D561" s="517">
        <f>D563</f>
        <v>6000</v>
      </c>
      <c r="E561" s="517">
        <f t="shared" ref="E561:F561" si="195">E563</f>
        <v>0</v>
      </c>
      <c r="F561" s="517">
        <f t="shared" si="195"/>
        <v>0</v>
      </c>
      <c r="G561" s="520"/>
    </row>
    <row r="562" spans="1:7" s="519" customFormat="1" ht="31.5" x14ac:dyDescent="0.25">
      <c r="A562" s="523" t="s">
        <v>857</v>
      </c>
      <c r="B562" s="156" t="s">
        <v>858</v>
      </c>
      <c r="C562" s="575"/>
      <c r="D562" s="517">
        <f>D563</f>
        <v>6000</v>
      </c>
      <c r="E562" s="517">
        <f t="shared" ref="E562:F562" si="196">E563</f>
        <v>0</v>
      </c>
      <c r="F562" s="517">
        <f t="shared" si="196"/>
        <v>0</v>
      </c>
      <c r="G562" s="520"/>
    </row>
    <row r="563" spans="1:7" s="519" customFormat="1" ht="63" x14ac:dyDescent="0.25">
      <c r="A563" s="523" t="s">
        <v>855</v>
      </c>
      <c r="B563" s="156" t="s">
        <v>856</v>
      </c>
      <c r="C563" s="575"/>
      <c r="D563" s="517">
        <f>D564</f>
        <v>6000</v>
      </c>
      <c r="E563" s="517">
        <f t="shared" ref="E563:F563" si="197">E564</f>
        <v>0</v>
      </c>
      <c r="F563" s="517">
        <f t="shared" si="197"/>
        <v>0</v>
      </c>
      <c r="G563" s="520"/>
    </row>
    <row r="564" spans="1:7" s="519" customFormat="1" ht="31.5" x14ac:dyDescent="0.25">
      <c r="A564" s="523" t="s">
        <v>60</v>
      </c>
      <c r="B564" s="156" t="s">
        <v>856</v>
      </c>
      <c r="C564" s="575">
        <v>600</v>
      </c>
      <c r="D564" s="517">
        <f>D565</f>
        <v>6000</v>
      </c>
      <c r="E564" s="517">
        <f t="shared" ref="E564:F564" si="198">E565</f>
        <v>0</v>
      </c>
      <c r="F564" s="517">
        <f t="shared" si="198"/>
        <v>0</v>
      </c>
      <c r="G564" s="520"/>
    </row>
    <row r="565" spans="1:7" s="519" customFormat="1" x14ac:dyDescent="0.25">
      <c r="A565" s="523" t="s">
        <v>61</v>
      </c>
      <c r="B565" s="156" t="s">
        <v>856</v>
      </c>
      <c r="C565" s="575">
        <v>610</v>
      </c>
      <c r="D565" s="517">
        <f>'Функц. 2025-2027'!F714</f>
        <v>6000</v>
      </c>
      <c r="E565" s="517">
        <f>'Функц. 2025-2027'!H714</f>
        <v>0</v>
      </c>
      <c r="F565" s="517">
        <f>'Функц. 2025-2027'!J714</f>
        <v>0</v>
      </c>
      <c r="G565" s="520"/>
    </row>
    <row r="566" spans="1:7" x14ac:dyDescent="0.25">
      <c r="A566" s="271" t="s">
        <v>307</v>
      </c>
      <c r="B566" s="156" t="s">
        <v>308</v>
      </c>
      <c r="C566" s="444"/>
      <c r="D566" s="27">
        <f>D567+D573</f>
        <v>2581.1</v>
      </c>
      <c r="E566" s="27">
        <f>E567+E573</f>
        <v>1862.7</v>
      </c>
      <c r="F566" s="27">
        <f>F567+F573</f>
        <v>1951.2</v>
      </c>
      <c r="G566" s="152"/>
    </row>
    <row r="567" spans="1:7" x14ac:dyDescent="0.25">
      <c r="A567" s="272" t="s">
        <v>512</v>
      </c>
      <c r="B567" s="156" t="s">
        <v>309</v>
      </c>
      <c r="C567" s="444"/>
      <c r="D567" s="27">
        <f t="shared" ref="D567:F569" si="199">D568</f>
        <v>1330.6</v>
      </c>
      <c r="E567" s="27">
        <f t="shared" si="199"/>
        <v>612.20000000000005</v>
      </c>
      <c r="F567" s="27">
        <f t="shared" si="199"/>
        <v>700.7</v>
      </c>
      <c r="G567" s="152"/>
    </row>
    <row r="568" spans="1:7" ht="33.75" customHeight="1" x14ac:dyDescent="0.25">
      <c r="A568" s="278" t="s">
        <v>772</v>
      </c>
      <c r="B568" s="156" t="s">
        <v>310</v>
      </c>
      <c r="C568" s="444"/>
      <c r="D568" s="27">
        <f>D569+D571</f>
        <v>1330.6</v>
      </c>
      <c r="E568" s="517">
        <f t="shared" ref="E568:F568" si="200">E569+E571</f>
        <v>612.20000000000005</v>
      </c>
      <c r="F568" s="517">
        <f t="shared" si="200"/>
        <v>700.7</v>
      </c>
      <c r="G568" s="152"/>
    </row>
    <row r="569" spans="1:7" x14ac:dyDescent="0.25">
      <c r="A569" s="273" t="s">
        <v>120</v>
      </c>
      <c r="B569" s="156" t="s">
        <v>310</v>
      </c>
      <c r="C569" s="444">
        <v>200</v>
      </c>
      <c r="D569" s="27">
        <f t="shared" si="199"/>
        <v>597.29999999999984</v>
      </c>
      <c r="E569" s="27">
        <f t="shared" si="199"/>
        <v>450.00000000000006</v>
      </c>
      <c r="F569" s="27">
        <f t="shared" si="199"/>
        <v>450.00000000000006</v>
      </c>
      <c r="G569" s="152"/>
    </row>
    <row r="570" spans="1:7" x14ac:dyDescent="0.25">
      <c r="A570" s="273" t="s">
        <v>52</v>
      </c>
      <c r="B570" s="156" t="s">
        <v>310</v>
      </c>
      <c r="C570" s="444">
        <v>240</v>
      </c>
      <c r="D570" s="27">
        <f>'Функц. 2025-2027'!F769</f>
        <v>597.29999999999984</v>
      </c>
      <c r="E570" s="27">
        <f>'Функц. 2025-2027'!H769</f>
        <v>450.00000000000006</v>
      </c>
      <c r="F570" s="27">
        <f>'Функц. 2025-2027'!J769</f>
        <v>450.00000000000006</v>
      </c>
      <c r="G570" s="152"/>
    </row>
    <row r="571" spans="1:7" s="519" customFormat="1" ht="31.5" x14ac:dyDescent="0.25">
      <c r="A571" s="451" t="s">
        <v>60</v>
      </c>
      <c r="B571" s="156" t="s">
        <v>310</v>
      </c>
      <c r="C571" s="444">
        <v>600</v>
      </c>
      <c r="D571" s="517">
        <f>D572</f>
        <v>733.30000000000007</v>
      </c>
      <c r="E571" s="517">
        <f t="shared" ref="E571:F571" si="201">E572</f>
        <v>162.19999999999999</v>
      </c>
      <c r="F571" s="517">
        <f t="shared" si="201"/>
        <v>250.7</v>
      </c>
      <c r="G571" s="520"/>
    </row>
    <row r="572" spans="1:7" s="519" customFormat="1" x14ac:dyDescent="0.25">
      <c r="A572" s="451" t="s">
        <v>61</v>
      </c>
      <c r="B572" s="156" t="s">
        <v>310</v>
      </c>
      <c r="C572" s="444">
        <v>610</v>
      </c>
      <c r="D572" s="517">
        <f>'Функц. 2025-2027'!F771</f>
        <v>733.30000000000007</v>
      </c>
      <c r="E572" s="517">
        <f>'Функц. 2025-2027'!H771</f>
        <v>162.19999999999999</v>
      </c>
      <c r="F572" s="517">
        <f>'Функц. 2025-2027'!J771</f>
        <v>250.7</v>
      </c>
      <c r="G572" s="520"/>
    </row>
    <row r="573" spans="1:7" s="171" customFormat="1" ht="63" x14ac:dyDescent="0.25">
      <c r="A573" s="376" t="s">
        <v>578</v>
      </c>
      <c r="B573" s="309" t="s">
        <v>579</v>
      </c>
      <c r="C573" s="444"/>
      <c r="D573" s="27">
        <f t="shared" ref="D573:F575" si="202">D574</f>
        <v>1250.5</v>
      </c>
      <c r="E573" s="27">
        <f t="shared" si="202"/>
        <v>1250.5</v>
      </c>
      <c r="F573" s="27">
        <f t="shared" si="202"/>
        <v>1250.5</v>
      </c>
      <c r="G573" s="152"/>
    </row>
    <row r="574" spans="1:7" s="171" customFormat="1" ht="34.5" customHeight="1" x14ac:dyDescent="0.25">
      <c r="A574" s="376" t="s">
        <v>773</v>
      </c>
      <c r="B574" s="309" t="s">
        <v>580</v>
      </c>
      <c r="C574" s="444"/>
      <c r="D574" s="27">
        <f t="shared" si="202"/>
        <v>1250.5</v>
      </c>
      <c r="E574" s="27">
        <f t="shared" si="202"/>
        <v>1250.5</v>
      </c>
      <c r="F574" s="27">
        <f t="shared" si="202"/>
        <v>1250.5</v>
      </c>
      <c r="G574" s="152"/>
    </row>
    <row r="575" spans="1:7" ht="31.5" x14ac:dyDescent="0.25">
      <c r="A575" s="393" t="s">
        <v>60</v>
      </c>
      <c r="B575" s="309" t="s">
        <v>580</v>
      </c>
      <c r="C575" s="444">
        <v>600</v>
      </c>
      <c r="D575" s="27">
        <f t="shared" si="202"/>
        <v>1250.5</v>
      </c>
      <c r="E575" s="27">
        <f t="shared" si="202"/>
        <v>1250.5</v>
      </c>
      <c r="F575" s="27">
        <f t="shared" si="202"/>
        <v>1250.5</v>
      </c>
      <c r="G575" s="152"/>
    </row>
    <row r="576" spans="1:7" x14ac:dyDescent="0.25">
      <c r="A576" s="393" t="s">
        <v>61</v>
      </c>
      <c r="B576" s="309" t="s">
        <v>580</v>
      </c>
      <c r="C576" s="444">
        <v>610</v>
      </c>
      <c r="D576" s="27">
        <f>'Функц. 2025-2027'!F775</f>
        <v>1250.5</v>
      </c>
      <c r="E576" s="27">
        <f>'Функц. 2025-2027'!H775</f>
        <v>1250.5</v>
      </c>
      <c r="F576" s="27">
        <f>'Функц. 2025-2027'!J775</f>
        <v>1250.5</v>
      </c>
      <c r="G576" s="152"/>
    </row>
    <row r="577" spans="1:30" s="519" customFormat="1" ht="31.5" x14ac:dyDescent="0.25">
      <c r="A577" s="451" t="s">
        <v>811</v>
      </c>
      <c r="B577" s="543" t="s">
        <v>815</v>
      </c>
      <c r="C577" s="454"/>
      <c r="D577" s="517">
        <f>D578</f>
        <v>150</v>
      </c>
      <c r="E577" s="517">
        <f t="shared" ref="E577:F577" si="203">E578</f>
        <v>0</v>
      </c>
      <c r="F577" s="517">
        <f t="shared" si="203"/>
        <v>0</v>
      </c>
      <c r="G577" s="520"/>
    </row>
    <row r="578" spans="1:30" s="519" customFormat="1" ht="31.5" x14ac:dyDescent="0.25">
      <c r="A578" s="451" t="s">
        <v>810</v>
      </c>
      <c r="B578" s="543" t="s">
        <v>814</v>
      </c>
      <c r="C578" s="454"/>
      <c r="D578" s="517">
        <f>D579</f>
        <v>150</v>
      </c>
      <c r="E578" s="517">
        <f t="shared" ref="E578:F578" si="204">E579</f>
        <v>0</v>
      </c>
      <c r="F578" s="517">
        <f t="shared" si="204"/>
        <v>0</v>
      </c>
      <c r="G578" s="520"/>
    </row>
    <row r="579" spans="1:30" s="519" customFormat="1" x14ac:dyDescent="0.25">
      <c r="A579" s="451" t="s">
        <v>812</v>
      </c>
      <c r="B579" s="543" t="s">
        <v>813</v>
      </c>
      <c r="C579" s="454"/>
      <c r="D579" s="517">
        <f>D580</f>
        <v>150</v>
      </c>
      <c r="E579" s="517">
        <f t="shared" ref="E579:AD579" si="205">E580</f>
        <v>0</v>
      </c>
      <c r="F579" s="517">
        <f t="shared" si="205"/>
        <v>0</v>
      </c>
      <c r="G579" s="517">
        <f t="shared" si="205"/>
        <v>0</v>
      </c>
      <c r="H579" s="517">
        <f t="shared" si="205"/>
        <v>0</v>
      </c>
      <c r="I579" s="517">
        <f t="shared" si="205"/>
        <v>0</v>
      </c>
      <c r="J579" s="517">
        <f t="shared" si="205"/>
        <v>0</v>
      </c>
      <c r="K579" s="517">
        <f t="shared" si="205"/>
        <v>0</v>
      </c>
      <c r="L579" s="517">
        <f t="shared" si="205"/>
        <v>0</v>
      </c>
      <c r="M579" s="517">
        <f t="shared" si="205"/>
        <v>0</v>
      </c>
      <c r="N579" s="517">
        <f t="shared" si="205"/>
        <v>0</v>
      </c>
      <c r="O579" s="517">
        <f t="shared" si="205"/>
        <v>0</v>
      </c>
      <c r="P579" s="517">
        <f t="shared" si="205"/>
        <v>0</v>
      </c>
      <c r="Q579" s="517">
        <f t="shared" si="205"/>
        <v>0</v>
      </c>
      <c r="R579" s="517">
        <f t="shared" si="205"/>
        <v>0</v>
      </c>
      <c r="S579" s="517">
        <f t="shared" si="205"/>
        <v>0</v>
      </c>
      <c r="T579" s="517">
        <f t="shared" si="205"/>
        <v>0</v>
      </c>
      <c r="U579" s="517">
        <f t="shared" si="205"/>
        <v>0</v>
      </c>
      <c r="V579" s="517">
        <f t="shared" si="205"/>
        <v>0</v>
      </c>
      <c r="W579" s="517">
        <f t="shared" si="205"/>
        <v>0</v>
      </c>
      <c r="X579" s="517">
        <f t="shared" si="205"/>
        <v>0</v>
      </c>
      <c r="Y579" s="517">
        <f t="shared" si="205"/>
        <v>0</v>
      </c>
      <c r="Z579" s="517">
        <f t="shared" si="205"/>
        <v>0</v>
      </c>
      <c r="AA579" s="517">
        <f t="shared" si="205"/>
        <v>0</v>
      </c>
      <c r="AB579" s="517">
        <f t="shared" si="205"/>
        <v>0</v>
      </c>
      <c r="AC579" s="517">
        <f t="shared" si="205"/>
        <v>0</v>
      </c>
      <c r="AD579" s="517">
        <f t="shared" si="205"/>
        <v>0</v>
      </c>
    </row>
    <row r="580" spans="1:30" s="519" customFormat="1" ht="31.5" x14ac:dyDescent="0.25">
      <c r="A580" s="451" t="s">
        <v>60</v>
      </c>
      <c r="B580" s="543" t="s">
        <v>813</v>
      </c>
      <c r="C580" s="454">
        <v>600</v>
      </c>
      <c r="D580" s="517">
        <f>D581</f>
        <v>150</v>
      </c>
      <c r="E580" s="517">
        <f t="shared" ref="E580:F580" si="206">E581</f>
        <v>0</v>
      </c>
      <c r="F580" s="517">
        <f t="shared" si="206"/>
        <v>0</v>
      </c>
      <c r="G580" s="520"/>
    </row>
    <row r="581" spans="1:30" s="519" customFormat="1" x14ac:dyDescent="0.25">
      <c r="A581" s="451" t="s">
        <v>61</v>
      </c>
      <c r="B581" s="543" t="s">
        <v>813</v>
      </c>
      <c r="C581" s="454">
        <v>610</v>
      </c>
      <c r="D581" s="517">
        <f>'Функц. 2025-2027'!F780</f>
        <v>150</v>
      </c>
      <c r="E581" s="517">
        <f>'Функц. 2025-2027'!H780</f>
        <v>0</v>
      </c>
      <c r="F581" s="517">
        <f>'Функц. 2025-2027'!J780</f>
        <v>0</v>
      </c>
      <c r="G581" s="520"/>
    </row>
    <row r="582" spans="1:30" s="177" customFormat="1" x14ac:dyDescent="0.25">
      <c r="A582" s="255" t="s">
        <v>48</v>
      </c>
      <c r="B582" s="156" t="s">
        <v>443</v>
      </c>
      <c r="C582" s="444"/>
      <c r="D582" s="27">
        <f>D583+D587</f>
        <v>4657</v>
      </c>
      <c r="E582" s="27">
        <f>E583+E587</f>
        <v>5943.3</v>
      </c>
      <c r="F582" s="27">
        <f>F583+F587</f>
        <v>5213.3</v>
      </c>
      <c r="G582" s="152"/>
    </row>
    <row r="583" spans="1:30" s="177" customFormat="1" x14ac:dyDescent="0.25">
      <c r="A583" s="278" t="s">
        <v>456</v>
      </c>
      <c r="B583" s="156" t="s">
        <v>444</v>
      </c>
      <c r="C583" s="444"/>
      <c r="D583" s="27">
        <f t="shared" ref="D583:F585" si="207">D584</f>
        <v>4656.3999999999996</v>
      </c>
      <c r="E583" s="27">
        <f t="shared" si="207"/>
        <v>5021.3</v>
      </c>
      <c r="F583" s="27">
        <f t="shared" si="207"/>
        <v>5193.1000000000004</v>
      </c>
      <c r="G583" s="152"/>
    </row>
    <row r="584" spans="1:30" ht="31.5" x14ac:dyDescent="0.25">
      <c r="A584" s="255" t="s">
        <v>455</v>
      </c>
      <c r="B584" s="156" t="s">
        <v>451</v>
      </c>
      <c r="C584" s="608"/>
      <c r="D584" s="27">
        <f t="shared" si="207"/>
        <v>4656.3999999999996</v>
      </c>
      <c r="E584" s="27">
        <f t="shared" si="207"/>
        <v>5021.3</v>
      </c>
      <c r="F584" s="27">
        <f t="shared" si="207"/>
        <v>5193.1000000000004</v>
      </c>
      <c r="G584" s="152"/>
    </row>
    <row r="585" spans="1:30" ht="47.25" x14ac:dyDescent="0.25">
      <c r="A585" s="273" t="s">
        <v>41</v>
      </c>
      <c r="B585" s="156" t="s">
        <v>451</v>
      </c>
      <c r="C585" s="444">
        <v>100</v>
      </c>
      <c r="D585" s="27">
        <f t="shared" si="207"/>
        <v>4656.3999999999996</v>
      </c>
      <c r="E585" s="27">
        <f t="shared" si="207"/>
        <v>5021.3</v>
      </c>
      <c r="F585" s="27">
        <f t="shared" si="207"/>
        <v>5193.1000000000004</v>
      </c>
      <c r="G585" s="152"/>
    </row>
    <row r="586" spans="1:30" x14ac:dyDescent="0.25">
      <c r="A586" s="273" t="s">
        <v>96</v>
      </c>
      <c r="B586" s="156" t="s">
        <v>451</v>
      </c>
      <c r="C586" s="444">
        <v>120</v>
      </c>
      <c r="D586" s="27">
        <f>'Функц. 2025-2027'!F230</f>
        <v>4656.3999999999996</v>
      </c>
      <c r="E586" s="27">
        <f>'Функц. 2025-2027'!H230</f>
        <v>5021.3</v>
      </c>
      <c r="F586" s="27">
        <f>'Функц. 2025-2027'!J230</f>
        <v>5193.1000000000004</v>
      </c>
      <c r="G586" s="152"/>
    </row>
    <row r="587" spans="1:30" ht="31.5" x14ac:dyDescent="0.25">
      <c r="A587" s="272" t="s">
        <v>311</v>
      </c>
      <c r="B587" s="156" t="s">
        <v>452</v>
      </c>
      <c r="C587" s="444"/>
      <c r="D587" s="27">
        <f t="shared" ref="D587:F589" si="208">D588</f>
        <v>0.6</v>
      </c>
      <c r="E587" s="27">
        <f t="shared" si="208"/>
        <v>922</v>
      </c>
      <c r="F587" s="27">
        <f t="shared" si="208"/>
        <v>20.2</v>
      </c>
      <c r="G587" s="152"/>
    </row>
    <row r="588" spans="1:30" ht="31.5" x14ac:dyDescent="0.25">
      <c r="A588" s="271" t="s">
        <v>454</v>
      </c>
      <c r="B588" s="156" t="s">
        <v>453</v>
      </c>
      <c r="C588" s="444"/>
      <c r="D588" s="27">
        <f t="shared" si="208"/>
        <v>0.6</v>
      </c>
      <c r="E588" s="27">
        <f t="shared" si="208"/>
        <v>922</v>
      </c>
      <c r="F588" s="27">
        <f t="shared" si="208"/>
        <v>20.2</v>
      </c>
      <c r="G588" s="152"/>
    </row>
    <row r="589" spans="1:30" x14ac:dyDescent="0.25">
      <c r="A589" s="273" t="s">
        <v>120</v>
      </c>
      <c r="B589" s="156" t="s">
        <v>453</v>
      </c>
      <c r="C589" s="444">
        <v>200</v>
      </c>
      <c r="D589" s="27">
        <f t="shared" si="208"/>
        <v>0.6</v>
      </c>
      <c r="E589" s="27">
        <f t="shared" si="208"/>
        <v>922</v>
      </c>
      <c r="F589" s="27">
        <f t="shared" si="208"/>
        <v>20.2</v>
      </c>
      <c r="G589" s="152"/>
    </row>
    <row r="590" spans="1:30" x14ac:dyDescent="0.25">
      <c r="A590" s="273" t="s">
        <v>52</v>
      </c>
      <c r="B590" s="156" t="s">
        <v>453</v>
      </c>
      <c r="C590" s="444">
        <v>240</v>
      </c>
      <c r="D590" s="27">
        <f>'Функц. 2025-2027'!F205</f>
        <v>0.6</v>
      </c>
      <c r="E590" s="27">
        <f>'Функц. 2025-2027'!H205</f>
        <v>922</v>
      </c>
      <c r="F590" s="27">
        <f>'Функц. 2025-2027'!J205</f>
        <v>20.2</v>
      </c>
      <c r="G590" s="152"/>
    </row>
    <row r="591" spans="1:30" ht="31.5" x14ac:dyDescent="0.25">
      <c r="A591" s="395" t="s">
        <v>226</v>
      </c>
      <c r="B591" s="614" t="s">
        <v>227</v>
      </c>
      <c r="C591" s="600"/>
      <c r="D591" s="30">
        <f t="shared" ref="D591:AD591" si="209">D592+D598+D611+D616</f>
        <v>115335.9</v>
      </c>
      <c r="E591" s="518">
        <f t="shared" si="209"/>
        <v>87021.4</v>
      </c>
      <c r="F591" s="518">
        <f t="shared" si="209"/>
        <v>96070.6</v>
      </c>
      <c r="G591" s="518">
        <f t="shared" si="209"/>
        <v>0</v>
      </c>
      <c r="H591" s="518">
        <f t="shared" si="209"/>
        <v>0</v>
      </c>
      <c r="I591" s="518">
        <f t="shared" si="209"/>
        <v>0</v>
      </c>
      <c r="J591" s="518">
        <f t="shared" si="209"/>
        <v>0</v>
      </c>
      <c r="K591" s="518">
        <f t="shared" si="209"/>
        <v>0</v>
      </c>
      <c r="L591" s="518">
        <f t="shared" si="209"/>
        <v>0</v>
      </c>
      <c r="M591" s="518">
        <f t="shared" si="209"/>
        <v>0</v>
      </c>
      <c r="N591" s="518">
        <f t="shared" si="209"/>
        <v>0</v>
      </c>
      <c r="O591" s="518">
        <f t="shared" si="209"/>
        <v>0</v>
      </c>
      <c r="P591" s="518">
        <f t="shared" si="209"/>
        <v>0</v>
      </c>
      <c r="Q591" s="518">
        <f t="shared" si="209"/>
        <v>0</v>
      </c>
      <c r="R591" s="518">
        <f t="shared" si="209"/>
        <v>0</v>
      </c>
      <c r="S591" s="518">
        <f t="shared" si="209"/>
        <v>0</v>
      </c>
      <c r="T591" s="518">
        <f t="shared" si="209"/>
        <v>0</v>
      </c>
      <c r="U591" s="518">
        <f t="shared" si="209"/>
        <v>0</v>
      </c>
      <c r="V591" s="518">
        <f t="shared" si="209"/>
        <v>0</v>
      </c>
      <c r="W591" s="518">
        <f t="shared" si="209"/>
        <v>0</v>
      </c>
      <c r="X591" s="518">
        <f t="shared" si="209"/>
        <v>0</v>
      </c>
      <c r="Y591" s="518">
        <f t="shared" si="209"/>
        <v>0</v>
      </c>
      <c r="Z591" s="518">
        <f t="shared" si="209"/>
        <v>0</v>
      </c>
      <c r="AA591" s="518">
        <f t="shared" si="209"/>
        <v>0</v>
      </c>
      <c r="AB591" s="518">
        <f t="shared" si="209"/>
        <v>0</v>
      </c>
      <c r="AC591" s="518">
        <f t="shared" si="209"/>
        <v>0</v>
      </c>
      <c r="AD591" s="518">
        <f t="shared" si="209"/>
        <v>0</v>
      </c>
    </row>
    <row r="592" spans="1:30" x14ac:dyDescent="0.25">
      <c r="A592" s="275" t="s">
        <v>228</v>
      </c>
      <c r="B592" s="156" t="s">
        <v>229</v>
      </c>
      <c r="C592" s="444"/>
      <c r="D592" s="27">
        <f t="shared" ref="D592:F594" si="210">D593</f>
        <v>0.79999999999999993</v>
      </c>
      <c r="E592" s="27">
        <f t="shared" si="210"/>
        <v>1.4000000000000001</v>
      </c>
      <c r="F592" s="27">
        <f t="shared" si="210"/>
        <v>0.6</v>
      </c>
      <c r="G592" s="152"/>
    </row>
    <row r="593" spans="1:7" x14ac:dyDescent="0.25">
      <c r="A593" s="277" t="s">
        <v>425</v>
      </c>
      <c r="B593" s="156" t="s">
        <v>338</v>
      </c>
      <c r="C593" s="444"/>
      <c r="D593" s="27">
        <f t="shared" si="210"/>
        <v>0.79999999999999993</v>
      </c>
      <c r="E593" s="27">
        <f t="shared" si="210"/>
        <v>1.4000000000000001</v>
      </c>
      <c r="F593" s="27">
        <f t="shared" si="210"/>
        <v>0.6</v>
      </c>
      <c r="G593" s="152"/>
    </row>
    <row r="594" spans="1:7" ht="47.25" x14ac:dyDescent="0.25">
      <c r="A594" s="277" t="s">
        <v>230</v>
      </c>
      <c r="B594" s="156" t="s">
        <v>339</v>
      </c>
      <c r="C594" s="444"/>
      <c r="D594" s="27">
        <f>D595</f>
        <v>0.79999999999999993</v>
      </c>
      <c r="E594" s="517">
        <f t="shared" si="210"/>
        <v>1.4000000000000001</v>
      </c>
      <c r="F594" s="517">
        <f t="shared" si="210"/>
        <v>0.6</v>
      </c>
      <c r="G594" s="152"/>
    </row>
    <row r="595" spans="1:7" ht="47.25" x14ac:dyDescent="0.25">
      <c r="A595" s="277" t="s">
        <v>319</v>
      </c>
      <c r="B595" s="156" t="s">
        <v>340</v>
      </c>
      <c r="C595" s="444"/>
      <c r="D595" s="27">
        <f t="shared" ref="D595:F596" si="211">D596</f>
        <v>0.79999999999999993</v>
      </c>
      <c r="E595" s="27">
        <f t="shared" si="211"/>
        <v>1.4000000000000001</v>
      </c>
      <c r="F595" s="27">
        <f t="shared" si="211"/>
        <v>0.6</v>
      </c>
      <c r="G595" s="152"/>
    </row>
    <row r="596" spans="1:7" x14ac:dyDescent="0.25">
      <c r="A596" s="273" t="s">
        <v>120</v>
      </c>
      <c r="B596" s="156" t="s">
        <v>340</v>
      </c>
      <c r="C596" s="444">
        <v>200</v>
      </c>
      <c r="D596" s="27">
        <f t="shared" si="211"/>
        <v>0.79999999999999993</v>
      </c>
      <c r="E596" s="27">
        <f t="shared" si="211"/>
        <v>1.4000000000000001</v>
      </c>
      <c r="F596" s="27">
        <f t="shared" si="211"/>
        <v>0.6</v>
      </c>
      <c r="G596" s="152"/>
    </row>
    <row r="597" spans="1:7" x14ac:dyDescent="0.25">
      <c r="A597" s="273" t="s">
        <v>52</v>
      </c>
      <c r="B597" s="156" t="s">
        <v>340</v>
      </c>
      <c r="C597" s="444">
        <v>240</v>
      </c>
      <c r="D597" s="27">
        <f>'Функц. 2025-2027'!F333</f>
        <v>0.79999999999999993</v>
      </c>
      <c r="E597" s="27">
        <f>'Функц. 2025-2027'!H333</f>
        <v>1.4000000000000001</v>
      </c>
      <c r="F597" s="27">
        <f>'Функц. 2025-2027'!J333</f>
        <v>0.6</v>
      </c>
      <c r="G597" s="152"/>
    </row>
    <row r="598" spans="1:7" x14ac:dyDescent="0.25">
      <c r="A598" s="275" t="s">
        <v>231</v>
      </c>
      <c r="B598" s="156" t="s">
        <v>232</v>
      </c>
      <c r="C598" s="444"/>
      <c r="D598" s="27">
        <f>D607+D599+D603</f>
        <v>36903</v>
      </c>
      <c r="E598" s="517">
        <f t="shared" ref="E598:F598" si="212">E607+E599+E603</f>
        <v>42065</v>
      </c>
      <c r="F598" s="517">
        <f t="shared" si="212"/>
        <v>41464</v>
      </c>
      <c r="G598" s="152"/>
    </row>
    <row r="599" spans="1:7" s="519" customFormat="1" ht="25.5" customHeight="1" x14ac:dyDescent="0.25">
      <c r="A599" s="457" t="s">
        <v>879</v>
      </c>
      <c r="B599" s="542" t="s">
        <v>878</v>
      </c>
      <c r="C599" s="454"/>
      <c r="D599" s="517">
        <f>D600</f>
        <v>12000</v>
      </c>
      <c r="E599" s="517">
        <f t="shared" ref="E599:F601" si="213">E600</f>
        <v>0</v>
      </c>
      <c r="F599" s="517">
        <f t="shared" si="213"/>
        <v>0</v>
      </c>
      <c r="G599" s="520"/>
    </row>
    <row r="600" spans="1:7" s="519" customFormat="1" ht="31.5" x14ac:dyDescent="0.25">
      <c r="A600" s="457" t="s">
        <v>880</v>
      </c>
      <c r="B600" s="542" t="s">
        <v>881</v>
      </c>
      <c r="C600" s="454"/>
      <c r="D600" s="517">
        <f>D601</f>
        <v>12000</v>
      </c>
      <c r="E600" s="517">
        <f t="shared" si="213"/>
        <v>0</v>
      </c>
      <c r="F600" s="517">
        <f t="shared" si="213"/>
        <v>0</v>
      </c>
      <c r="G600" s="520"/>
    </row>
    <row r="601" spans="1:7" s="519" customFormat="1" x14ac:dyDescent="0.25">
      <c r="A601" s="451" t="s">
        <v>120</v>
      </c>
      <c r="B601" s="542" t="s">
        <v>881</v>
      </c>
      <c r="C601" s="482">
        <v>200</v>
      </c>
      <c r="D601" s="517">
        <f>D602</f>
        <v>12000</v>
      </c>
      <c r="E601" s="517">
        <f t="shared" si="213"/>
        <v>0</v>
      </c>
      <c r="F601" s="517">
        <f t="shared" si="213"/>
        <v>0</v>
      </c>
      <c r="G601" s="520"/>
    </row>
    <row r="602" spans="1:7" s="519" customFormat="1" x14ac:dyDescent="0.25">
      <c r="A602" s="451" t="s">
        <v>52</v>
      </c>
      <c r="B602" s="542" t="s">
        <v>881</v>
      </c>
      <c r="C602" s="454">
        <v>240</v>
      </c>
      <c r="D602" s="517">
        <f>'Функц. 2025-2027'!F341</f>
        <v>12000</v>
      </c>
      <c r="E602" s="517">
        <f>'Функц. 2025-2027'!H341</f>
        <v>0</v>
      </c>
      <c r="F602" s="517">
        <f>'Функц. 2025-2027'!J341</f>
        <v>0</v>
      </c>
      <c r="G602" s="520"/>
    </row>
    <row r="603" spans="1:7" s="519" customFormat="1" x14ac:dyDescent="0.25">
      <c r="A603" s="451" t="s">
        <v>893</v>
      </c>
      <c r="B603" s="542" t="s">
        <v>895</v>
      </c>
      <c r="C603" s="454"/>
      <c r="D603" s="517">
        <f>D604</f>
        <v>0</v>
      </c>
      <c r="E603" s="517">
        <f t="shared" ref="E603:F605" si="214">E604</f>
        <v>2500</v>
      </c>
      <c r="F603" s="517">
        <f t="shared" si="214"/>
        <v>0</v>
      </c>
      <c r="G603" s="520"/>
    </row>
    <row r="604" spans="1:7" s="519" customFormat="1" ht="31.5" x14ac:dyDescent="0.25">
      <c r="A604" s="451" t="s">
        <v>894</v>
      </c>
      <c r="B604" s="542" t="s">
        <v>896</v>
      </c>
      <c r="C604" s="454"/>
      <c r="D604" s="517">
        <f>D605</f>
        <v>0</v>
      </c>
      <c r="E604" s="517">
        <f t="shared" si="214"/>
        <v>2500</v>
      </c>
      <c r="F604" s="517">
        <f t="shared" si="214"/>
        <v>0</v>
      </c>
      <c r="G604" s="520"/>
    </row>
    <row r="605" spans="1:7" s="519" customFormat="1" x14ac:dyDescent="0.25">
      <c r="A605" s="451" t="s">
        <v>120</v>
      </c>
      <c r="B605" s="542" t="s">
        <v>896</v>
      </c>
      <c r="C605" s="482">
        <v>200</v>
      </c>
      <c r="D605" s="517">
        <f>D606</f>
        <v>0</v>
      </c>
      <c r="E605" s="517">
        <f t="shared" si="214"/>
        <v>2500</v>
      </c>
      <c r="F605" s="517">
        <f t="shared" si="214"/>
        <v>0</v>
      </c>
      <c r="G605" s="520"/>
    </row>
    <row r="606" spans="1:7" s="519" customFormat="1" x14ac:dyDescent="0.25">
      <c r="A606" s="451" t="s">
        <v>52</v>
      </c>
      <c r="B606" s="542" t="s">
        <v>896</v>
      </c>
      <c r="C606" s="454">
        <v>240</v>
      </c>
      <c r="D606" s="517">
        <f>'Функц. 2025-2027'!F345</f>
        <v>0</v>
      </c>
      <c r="E606" s="517">
        <f>'Функц. 2025-2027'!H345</f>
        <v>2500</v>
      </c>
      <c r="F606" s="517">
        <f>'Функц. 2025-2027'!J345</f>
        <v>0</v>
      </c>
      <c r="G606" s="520"/>
    </row>
    <row r="607" spans="1:7" ht="31.5" x14ac:dyDescent="0.25">
      <c r="A607" s="451" t="s">
        <v>714</v>
      </c>
      <c r="B607" s="612" t="s">
        <v>501</v>
      </c>
      <c r="C607" s="460"/>
      <c r="D607" s="27">
        <f t="shared" ref="D607:F608" si="215">D608</f>
        <v>24903</v>
      </c>
      <c r="E607" s="27">
        <f t="shared" si="215"/>
        <v>39565</v>
      </c>
      <c r="F607" s="27">
        <f t="shared" si="215"/>
        <v>41464</v>
      </c>
      <c r="G607" s="152"/>
    </row>
    <row r="608" spans="1:7" ht="31.5" x14ac:dyDescent="0.25">
      <c r="A608" s="451" t="s">
        <v>680</v>
      </c>
      <c r="B608" s="612" t="s">
        <v>713</v>
      </c>
      <c r="C608" s="460"/>
      <c r="D608" s="27">
        <f t="shared" si="215"/>
        <v>24903</v>
      </c>
      <c r="E608" s="27">
        <f t="shared" si="215"/>
        <v>39565</v>
      </c>
      <c r="F608" s="27">
        <f t="shared" si="215"/>
        <v>41464</v>
      </c>
      <c r="G608" s="152"/>
    </row>
    <row r="609" spans="1:7" x14ac:dyDescent="0.25">
      <c r="A609" s="451" t="s">
        <v>120</v>
      </c>
      <c r="B609" s="612" t="s">
        <v>713</v>
      </c>
      <c r="C609" s="460">
        <v>200</v>
      </c>
      <c r="D609" s="27">
        <f>'Функц. 2025-2027'!F348</f>
        <v>24903</v>
      </c>
      <c r="E609" s="27">
        <f>'Функц. 2025-2027'!H348</f>
        <v>39565</v>
      </c>
      <c r="F609" s="27">
        <f>'Функц. 2025-2027'!J348</f>
        <v>41464</v>
      </c>
      <c r="G609" s="152"/>
    </row>
    <row r="610" spans="1:7" x14ac:dyDescent="0.25">
      <c r="A610" s="451" t="s">
        <v>52</v>
      </c>
      <c r="B610" s="612" t="s">
        <v>713</v>
      </c>
      <c r="C610" s="460">
        <v>240</v>
      </c>
      <c r="D610" s="27">
        <f>'Функц. 2025-2027'!F349</f>
        <v>24903</v>
      </c>
      <c r="E610" s="27">
        <f>'Функц. 2025-2027'!H349</f>
        <v>39565</v>
      </c>
      <c r="F610" s="27">
        <f>'Функц. 2025-2027'!J349</f>
        <v>41464</v>
      </c>
      <c r="G610" s="152"/>
    </row>
    <row r="611" spans="1:7" x14ac:dyDescent="0.25">
      <c r="A611" s="465" t="s">
        <v>709</v>
      </c>
      <c r="B611" s="612" t="s">
        <v>708</v>
      </c>
      <c r="C611" s="460"/>
      <c r="D611" s="27">
        <f>D612</f>
        <v>26286</v>
      </c>
      <c r="E611" s="517">
        <f t="shared" ref="E611:F612" si="216">E612</f>
        <v>8590</v>
      </c>
      <c r="F611" s="517">
        <f t="shared" si="216"/>
        <v>16750</v>
      </c>
      <c r="G611" s="152"/>
    </row>
    <row r="612" spans="1:7" x14ac:dyDescent="0.25">
      <c r="A612" s="451" t="s">
        <v>710</v>
      </c>
      <c r="B612" s="612" t="s">
        <v>711</v>
      </c>
      <c r="C612" s="460"/>
      <c r="D612" s="27">
        <f>D613</f>
        <v>26286</v>
      </c>
      <c r="E612" s="517">
        <f t="shared" si="216"/>
        <v>8590</v>
      </c>
      <c r="F612" s="517">
        <f t="shared" si="216"/>
        <v>16750</v>
      </c>
      <c r="G612" s="152"/>
    </row>
    <row r="613" spans="1:7" s="519" customFormat="1" x14ac:dyDescent="0.25">
      <c r="A613" s="451" t="s">
        <v>344</v>
      </c>
      <c r="B613" s="612" t="s">
        <v>712</v>
      </c>
      <c r="C613" s="460"/>
      <c r="D613" s="517">
        <f>D614</f>
        <v>26286</v>
      </c>
      <c r="E613" s="517">
        <f t="shared" ref="E613:F613" si="217">E614</f>
        <v>8590</v>
      </c>
      <c r="F613" s="517">
        <f t="shared" si="217"/>
        <v>16750</v>
      </c>
      <c r="G613" s="520"/>
    </row>
    <row r="614" spans="1:7" s="519" customFormat="1" x14ac:dyDescent="0.25">
      <c r="A614" s="451" t="s">
        <v>120</v>
      </c>
      <c r="B614" s="612" t="s">
        <v>712</v>
      </c>
      <c r="C614" s="460">
        <v>200</v>
      </c>
      <c r="D614" s="517">
        <f>D615</f>
        <v>26286</v>
      </c>
      <c r="E614" s="517">
        <f t="shared" ref="E614:F614" si="218">E615</f>
        <v>8590</v>
      </c>
      <c r="F614" s="517">
        <f t="shared" si="218"/>
        <v>16750</v>
      </c>
      <c r="G614" s="520"/>
    </row>
    <row r="615" spans="1:7" s="519" customFormat="1" x14ac:dyDescent="0.25">
      <c r="A615" s="451" t="s">
        <v>52</v>
      </c>
      <c r="B615" s="612" t="s">
        <v>712</v>
      </c>
      <c r="C615" s="460">
        <v>240</v>
      </c>
      <c r="D615" s="517">
        <f>'Функц. 2025-2027'!F354</f>
        <v>26286</v>
      </c>
      <c r="E615" s="517">
        <f>'Функц. 2025-2027'!H354</f>
        <v>8590</v>
      </c>
      <c r="F615" s="517">
        <f>'Функц. 2025-2027'!J354</f>
        <v>16750</v>
      </c>
      <c r="G615" s="520"/>
    </row>
    <row r="616" spans="1:7" x14ac:dyDescent="0.25">
      <c r="A616" s="275" t="s">
        <v>48</v>
      </c>
      <c r="B616" s="156" t="s">
        <v>341</v>
      </c>
      <c r="C616" s="407"/>
      <c r="D616" s="27">
        <f t="shared" ref="D616:F619" si="219">D617</f>
        <v>52146.1</v>
      </c>
      <c r="E616" s="27">
        <f t="shared" si="219"/>
        <v>36365</v>
      </c>
      <c r="F616" s="27">
        <f t="shared" si="219"/>
        <v>37856</v>
      </c>
      <c r="G616" s="152"/>
    </row>
    <row r="617" spans="1:7" ht="31.5" x14ac:dyDescent="0.25">
      <c r="A617" s="275" t="s">
        <v>191</v>
      </c>
      <c r="B617" s="156" t="s">
        <v>342</v>
      </c>
      <c r="C617" s="444"/>
      <c r="D617" s="27">
        <f t="shared" si="219"/>
        <v>52146.1</v>
      </c>
      <c r="E617" s="27">
        <f t="shared" si="219"/>
        <v>36365</v>
      </c>
      <c r="F617" s="27">
        <f t="shared" si="219"/>
        <v>37856</v>
      </c>
      <c r="G617" s="152"/>
    </row>
    <row r="618" spans="1:7" ht="31.5" x14ac:dyDescent="0.25">
      <c r="A618" s="465" t="s">
        <v>706</v>
      </c>
      <c r="B618" s="612" t="s">
        <v>705</v>
      </c>
      <c r="C618" s="444"/>
      <c r="D618" s="27">
        <f t="shared" si="219"/>
        <v>52146.1</v>
      </c>
      <c r="E618" s="27">
        <f t="shared" si="219"/>
        <v>36365</v>
      </c>
      <c r="F618" s="27">
        <f t="shared" si="219"/>
        <v>37856</v>
      </c>
      <c r="G618" s="152"/>
    </row>
    <row r="619" spans="1:7" ht="31.5" x14ac:dyDescent="0.25">
      <c r="A619" s="393" t="s">
        <v>60</v>
      </c>
      <c r="B619" s="612" t="s">
        <v>705</v>
      </c>
      <c r="C619" s="444">
        <v>600</v>
      </c>
      <c r="D619" s="27">
        <f t="shared" si="219"/>
        <v>52146.1</v>
      </c>
      <c r="E619" s="27">
        <f t="shared" si="219"/>
        <v>36365</v>
      </c>
      <c r="F619" s="27">
        <f t="shared" si="219"/>
        <v>37856</v>
      </c>
      <c r="G619" s="152"/>
    </row>
    <row r="620" spans="1:7" x14ac:dyDescent="0.25">
      <c r="A620" s="393" t="s">
        <v>61</v>
      </c>
      <c r="B620" s="612" t="s">
        <v>705</v>
      </c>
      <c r="C620" s="444">
        <v>610</v>
      </c>
      <c r="D620" s="27">
        <f>'Функц. 2025-2027'!F359</f>
        <v>52146.1</v>
      </c>
      <c r="E620" s="27">
        <f>'Функц. 2025-2027'!H359</f>
        <v>36365</v>
      </c>
      <c r="F620" s="27">
        <f>'Функц. 2025-2027'!J359</f>
        <v>37856</v>
      </c>
      <c r="G620" s="152"/>
    </row>
    <row r="621" spans="1:7" x14ac:dyDescent="0.25">
      <c r="A621" s="395" t="s">
        <v>233</v>
      </c>
      <c r="B621" s="614" t="s">
        <v>234</v>
      </c>
      <c r="C621" s="600"/>
      <c r="D621" s="30">
        <f>D622+D639</f>
        <v>62118</v>
      </c>
      <c r="E621" s="518">
        <f t="shared" ref="E621:F621" si="220">E622+E639</f>
        <v>55636</v>
      </c>
      <c r="F621" s="518">
        <f t="shared" si="220"/>
        <v>53039</v>
      </c>
      <c r="G621" s="152"/>
    </row>
    <row r="622" spans="1:7" ht="31.5" x14ac:dyDescent="0.25">
      <c r="A622" s="275" t="s">
        <v>236</v>
      </c>
      <c r="B622" s="156" t="s">
        <v>237</v>
      </c>
      <c r="C622" s="604"/>
      <c r="D622" s="27">
        <f>D635+D623+D631+D627</f>
        <v>4769</v>
      </c>
      <c r="E622" s="27">
        <f>E635+E623+E631+E627</f>
        <v>3003</v>
      </c>
      <c r="F622" s="27">
        <f>F635+F623+F631+F627</f>
        <v>0</v>
      </c>
      <c r="G622" s="152"/>
    </row>
    <row r="623" spans="1:7" s="177" customFormat="1" x14ac:dyDescent="0.25">
      <c r="A623" s="259" t="s">
        <v>371</v>
      </c>
      <c r="B623" s="156" t="s">
        <v>372</v>
      </c>
      <c r="C623" s="604"/>
      <c r="D623" s="27">
        <f t="shared" ref="D623:F625" si="221">D624</f>
        <v>3172</v>
      </c>
      <c r="E623" s="27">
        <f t="shared" si="221"/>
        <v>2593</v>
      </c>
      <c r="F623" s="27">
        <f t="shared" si="221"/>
        <v>0</v>
      </c>
      <c r="G623" s="152"/>
    </row>
    <row r="624" spans="1:7" s="177" customFormat="1" x14ac:dyDescent="0.25">
      <c r="A624" s="258" t="s">
        <v>373</v>
      </c>
      <c r="B624" s="156" t="s">
        <v>374</v>
      </c>
      <c r="C624" s="609"/>
      <c r="D624" s="27">
        <f t="shared" si="221"/>
        <v>3172</v>
      </c>
      <c r="E624" s="27">
        <f t="shared" si="221"/>
        <v>2593</v>
      </c>
      <c r="F624" s="27">
        <f t="shared" si="221"/>
        <v>0</v>
      </c>
      <c r="G624" s="152"/>
    </row>
    <row r="625" spans="1:7" s="177" customFormat="1" x14ac:dyDescent="0.25">
      <c r="A625" s="523" t="s">
        <v>120</v>
      </c>
      <c r="B625" s="156" t="s">
        <v>374</v>
      </c>
      <c r="C625" s="444">
        <v>200</v>
      </c>
      <c r="D625" s="27">
        <f t="shared" si="221"/>
        <v>3172</v>
      </c>
      <c r="E625" s="27">
        <f t="shared" si="221"/>
        <v>2593</v>
      </c>
      <c r="F625" s="27">
        <f t="shared" si="221"/>
        <v>0</v>
      </c>
      <c r="G625" s="152"/>
    </row>
    <row r="626" spans="1:7" s="177" customFormat="1" x14ac:dyDescent="0.25">
      <c r="A626" s="523" t="s">
        <v>52</v>
      </c>
      <c r="B626" s="156" t="s">
        <v>374</v>
      </c>
      <c r="C626" s="444">
        <v>240</v>
      </c>
      <c r="D626" s="27">
        <f>'Функц. 2025-2027'!F372</f>
        <v>3172</v>
      </c>
      <c r="E626" s="27">
        <f>'Функц. 2025-2027'!H372</f>
        <v>2593</v>
      </c>
      <c r="F626" s="27">
        <f>'Функц. 2025-2027'!J372</f>
        <v>0</v>
      </c>
      <c r="G626" s="152"/>
    </row>
    <row r="627" spans="1:7" s="177" customFormat="1" x14ac:dyDescent="0.25">
      <c r="A627" s="259" t="s">
        <v>389</v>
      </c>
      <c r="B627" s="156" t="s">
        <v>390</v>
      </c>
      <c r="C627" s="444"/>
      <c r="D627" s="27">
        <f t="shared" ref="D627:F629" si="222">D628</f>
        <v>350</v>
      </c>
      <c r="E627" s="27">
        <f t="shared" si="222"/>
        <v>110</v>
      </c>
      <c r="F627" s="27">
        <f t="shared" si="222"/>
        <v>0</v>
      </c>
      <c r="G627" s="152"/>
    </row>
    <row r="628" spans="1:7" s="177" customFormat="1" x14ac:dyDescent="0.25">
      <c r="A628" s="258" t="s">
        <v>391</v>
      </c>
      <c r="B628" s="156" t="s">
        <v>392</v>
      </c>
      <c r="C628" s="444"/>
      <c r="D628" s="27">
        <f t="shared" si="222"/>
        <v>350</v>
      </c>
      <c r="E628" s="27">
        <f t="shared" si="222"/>
        <v>110</v>
      </c>
      <c r="F628" s="27">
        <f t="shared" si="222"/>
        <v>0</v>
      </c>
      <c r="G628" s="152"/>
    </row>
    <row r="629" spans="1:7" s="177" customFormat="1" x14ac:dyDescent="0.25">
      <c r="A629" s="523" t="s">
        <v>120</v>
      </c>
      <c r="B629" s="156" t="s">
        <v>392</v>
      </c>
      <c r="C629" s="444">
        <v>200</v>
      </c>
      <c r="D629" s="27">
        <f t="shared" si="222"/>
        <v>350</v>
      </c>
      <c r="E629" s="27">
        <f t="shared" si="222"/>
        <v>110</v>
      </c>
      <c r="F629" s="27">
        <f t="shared" si="222"/>
        <v>0</v>
      </c>
      <c r="G629" s="152"/>
    </row>
    <row r="630" spans="1:7" s="177" customFormat="1" x14ac:dyDescent="0.25">
      <c r="A630" s="523" t="s">
        <v>52</v>
      </c>
      <c r="B630" s="156" t="s">
        <v>392</v>
      </c>
      <c r="C630" s="444">
        <v>240</v>
      </c>
      <c r="D630" s="27">
        <f>'Функц. 2025-2027'!F376</f>
        <v>350</v>
      </c>
      <c r="E630" s="27">
        <f>'Функц. 2025-2027'!H376</f>
        <v>110</v>
      </c>
      <c r="F630" s="27">
        <f>'Функц. 2025-2027'!J376</f>
        <v>0</v>
      </c>
      <c r="G630" s="152"/>
    </row>
    <row r="631" spans="1:7" s="177" customFormat="1" x14ac:dyDescent="0.25">
      <c r="A631" s="259" t="s">
        <v>375</v>
      </c>
      <c r="B631" s="156" t="s">
        <v>376</v>
      </c>
      <c r="C631" s="444"/>
      <c r="D631" s="27">
        <f t="shared" ref="D631:F633" si="223">D632</f>
        <v>300</v>
      </c>
      <c r="E631" s="27">
        <f t="shared" si="223"/>
        <v>300</v>
      </c>
      <c r="F631" s="27">
        <f t="shared" si="223"/>
        <v>0</v>
      </c>
      <c r="G631" s="152"/>
    </row>
    <row r="632" spans="1:7" s="177" customFormat="1" x14ac:dyDescent="0.25">
      <c r="A632" s="258" t="s">
        <v>377</v>
      </c>
      <c r="B632" s="156" t="s">
        <v>378</v>
      </c>
      <c r="C632" s="444"/>
      <c r="D632" s="27">
        <f t="shared" si="223"/>
        <v>300</v>
      </c>
      <c r="E632" s="27">
        <f t="shared" si="223"/>
        <v>300</v>
      </c>
      <c r="F632" s="27">
        <f t="shared" si="223"/>
        <v>0</v>
      </c>
      <c r="G632" s="152"/>
    </row>
    <row r="633" spans="1:7" s="177" customFormat="1" x14ac:dyDescent="0.25">
      <c r="A633" s="523" t="s">
        <v>120</v>
      </c>
      <c r="B633" s="156" t="s">
        <v>378</v>
      </c>
      <c r="C633" s="444">
        <v>200</v>
      </c>
      <c r="D633" s="27">
        <f t="shared" si="223"/>
        <v>300</v>
      </c>
      <c r="E633" s="27">
        <f t="shared" si="223"/>
        <v>300</v>
      </c>
      <c r="F633" s="27">
        <f t="shared" si="223"/>
        <v>0</v>
      </c>
      <c r="G633" s="152"/>
    </row>
    <row r="634" spans="1:7" s="177" customFormat="1" x14ac:dyDescent="0.25">
      <c r="A634" s="523" t="s">
        <v>52</v>
      </c>
      <c r="B634" s="156" t="s">
        <v>378</v>
      </c>
      <c r="C634" s="444">
        <v>240</v>
      </c>
      <c r="D634" s="27">
        <f>'Функц. 2025-2027'!F380</f>
        <v>300</v>
      </c>
      <c r="E634" s="27">
        <f>'Функц. 2025-2027'!H380</f>
        <v>300</v>
      </c>
      <c r="F634" s="27">
        <f>'Функц. 2025-2027'!J380</f>
        <v>0</v>
      </c>
      <c r="G634" s="152"/>
    </row>
    <row r="635" spans="1:7" x14ac:dyDescent="0.25">
      <c r="A635" s="451" t="s">
        <v>702</v>
      </c>
      <c r="B635" s="612" t="s">
        <v>701</v>
      </c>
      <c r="C635" s="456"/>
      <c r="D635" s="27">
        <f t="shared" ref="D635:F637" si="224">D636</f>
        <v>947</v>
      </c>
      <c r="E635" s="27">
        <f t="shared" si="224"/>
        <v>0</v>
      </c>
      <c r="F635" s="27">
        <f t="shared" si="224"/>
        <v>0</v>
      </c>
      <c r="G635" s="152"/>
    </row>
    <row r="636" spans="1:7" s="177" customFormat="1" ht="47.25" x14ac:dyDescent="0.25">
      <c r="A636" s="451" t="s">
        <v>699</v>
      </c>
      <c r="B636" s="621" t="s">
        <v>700</v>
      </c>
      <c r="C636" s="456"/>
      <c r="D636" s="27">
        <f t="shared" si="224"/>
        <v>947</v>
      </c>
      <c r="E636" s="27">
        <f t="shared" si="224"/>
        <v>0</v>
      </c>
      <c r="F636" s="27">
        <f t="shared" si="224"/>
        <v>0</v>
      </c>
      <c r="G636" s="152"/>
    </row>
    <row r="637" spans="1:7" s="177" customFormat="1" x14ac:dyDescent="0.25">
      <c r="A637" s="451" t="s">
        <v>120</v>
      </c>
      <c r="B637" s="621" t="s">
        <v>700</v>
      </c>
      <c r="C637" s="456">
        <v>200</v>
      </c>
      <c r="D637" s="27">
        <f t="shared" si="224"/>
        <v>947</v>
      </c>
      <c r="E637" s="27">
        <f t="shared" si="224"/>
        <v>0</v>
      </c>
      <c r="F637" s="27">
        <f t="shared" si="224"/>
        <v>0</v>
      </c>
      <c r="G637" s="152"/>
    </row>
    <row r="638" spans="1:7" s="177" customFormat="1" x14ac:dyDescent="0.25">
      <c r="A638" s="451" t="s">
        <v>52</v>
      </c>
      <c r="B638" s="621" t="s">
        <v>700</v>
      </c>
      <c r="C638" s="456">
        <v>240</v>
      </c>
      <c r="D638" s="27">
        <f>'Функц. 2025-2027'!F824</f>
        <v>947</v>
      </c>
      <c r="E638" s="27">
        <f>'Функц. 2025-2027'!H824</f>
        <v>0</v>
      </c>
      <c r="F638" s="27">
        <f>'Функц. 2025-2027'!J824</f>
        <v>0</v>
      </c>
      <c r="G638" s="152"/>
    </row>
    <row r="639" spans="1:7" s="177" customFormat="1" x14ac:dyDescent="0.25">
      <c r="A639" s="523" t="s">
        <v>48</v>
      </c>
      <c r="B639" s="156" t="s">
        <v>536</v>
      </c>
      <c r="C639" s="407"/>
      <c r="D639" s="27">
        <f t="shared" ref="D639:F642" si="225">D640</f>
        <v>57349</v>
      </c>
      <c r="E639" s="27">
        <f t="shared" si="225"/>
        <v>52633</v>
      </c>
      <c r="F639" s="27">
        <f t="shared" si="225"/>
        <v>53039</v>
      </c>
      <c r="G639" s="152"/>
    </row>
    <row r="640" spans="1:7" s="177" customFormat="1" ht="31.5" x14ac:dyDescent="0.25">
      <c r="A640" s="523" t="s">
        <v>327</v>
      </c>
      <c r="B640" s="156" t="s">
        <v>537</v>
      </c>
      <c r="C640" s="407"/>
      <c r="D640" s="27">
        <f t="shared" si="225"/>
        <v>57349</v>
      </c>
      <c r="E640" s="27">
        <f t="shared" si="225"/>
        <v>52633</v>
      </c>
      <c r="F640" s="27">
        <f t="shared" si="225"/>
        <v>53039</v>
      </c>
      <c r="G640" s="152"/>
    </row>
    <row r="641" spans="1:30" s="177" customFormat="1" ht="31.5" x14ac:dyDescent="0.25">
      <c r="A641" s="523" t="s">
        <v>235</v>
      </c>
      <c r="B641" s="156" t="s">
        <v>538</v>
      </c>
      <c r="C641" s="407"/>
      <c r="D641" s="27">
        <f t="shared" si="225"/>
        <v>57349</v>
      </c>
      <c r="E641" s="27">
        <f t="shared" si="225"/>
        <v>52633</v>
      </c>
      <c r="F641" s="27">
        <f t="shared" si="225"/>
        <v>53039</v>
      </c>
      <c r="G641" s="152"/>
    </row>
    <row r="642" spans="1:30" s="177" customFormat="1" ht="31.5" x14ac:dyDescent="0.25">
      <c r="A642" s="523" t="s">
        <v>60</v>
      </c>
      <c r="B642" s="156" t="s">
        <v>538</v>
      </c>
      <c r="C642" s="407">
        <v>600</v>
      </c>
      <c r="D642" s="27">
        <f t="shared" si="225"/>
        <v>57349</v>
      </c>
      <c r="E642" s="27">
        <f t="shared" si="225"/>
        <v>52633</v>
      </c>
      <c r="F642" s="27">
        <f t="shared" si="225"/>
        <v>53039</v>
      </c>
      <c r="G642" s="152"/>
    </row>
    <row r="643" spans="1:30" s="290" customFormat="1" x14ac:dyDescent="0.25">
      <c r="A643" s="523" t="s">
        <v>61</v>
      </c>
      <c r="B643" s="156" t="s">
        <v>538</v>
      </c>
      <c r="C643" s="407">
        <v>610</v>
      </c>
      <c r="D643" s="27">
        <f>'Функц. 2025-2027'!F211</f>
        <v>57349</v>
      </c>
      <c r="E643" s="27">
        <f>'Функц. 2025-2027'!H211</f>
        <v>52633</v>
      </c>
      <c r="F643" s="27">
        <f>'Функц. 2025-2027'!J211</f>
        <v>53039</v>
      </c>
      <c r="G643" s="289"/>
    </row>
    <row r="644" spans="1:30" x14ac:dyDescent="0.25">
      <c r="A644" s="396" t="s">
        <v>249</v>
      </c>
      <c r="B644" s="614" t="s">
        <v>250</v>
      </c>
      <c r="C644" s="600"/>
      <c r="D644" s="30">
        <f t="shared" ref="D644:F645" si="226">D645</f>
        <v>1510</v>
      </c>
      <c r="E644" s="30">
        <f t="shared" si="226"/>
        <v>210</v>
      </c>
      <c r="F644" s="30">
        <f t="shared" si="226"/>
        <v>0</v>
      </c>
      <c r="G644" s="152"/>
    </row>
    <row r="645" spans="1:30" ht="31.5" x14ac:dyDescent="0.25">
      <c r="A645" s="271" t="s">
        <v>774</v>
      </c>
      <c r="B645" s="156" t="s">
        <v>251</v>
      </c>
      <c r="C645" s="407"/>
      <c r="D645" s="27">
        <f t="shared" si="226"/>
        <v>1510</v>
      </c>
      <c r="E645" s="27">
        <f t="shared" si="226"/>
        <v>210</v>
      </c>
      <c r="F645" s="27">
        <f t="shared" si="226"/>
        <v>0</v>
      </c>
      <c r="G645" s="152"/>
    </row>
    <row r="646" spans="1:30" ht="39" customHeight="1" x14ac:dyDescent="0.25">
      <c r="A646" s="271" t="s">
        <v>787</v>
      </c>
      <c r="B646" s="156" t="s">
        <v>617</v>
      </c>
      <c r="C646" s="444"/>
      <c r="D646" s="27">
        <f t="shared" ref="D646:F647" si="227">D647</f>
        <v>1510</v>
      </c>
      <c r="E646" s="27">
        <f t="shared" si="227"/>
        <v>210</v>
      </c>
      <c r="F646" s="27">
        <f t="shared" si="227"/>
        <v>0</v>
      </c>
      <c r="G646" s="152"/>
    </row>
    <row r="647" spans="1:30" ht="31.5" x14ac:dyDescent="0.25">
      <c r="A647" s="255" t="s">
        <v>619</v>
      </c>
      <c r="B647" s="156" t="s">
        <v>618</v>
      </c>
      <c r="C647" s="444"/>
      <c r="D647" s="27">
        <f>D648</f>
        <v>1510</v>
      </c>
      <c r="E647" s="27">
        <f t="shared" si="227"/>
        <v>210</v>
      </c>
      <c r="F647" s="27">
        <f t="shared" si="227"/>
        <v>0</v>
      </c>
      <c r="G647" s="152"/>
    </row>
    <row r="648" spans="1:30" s="177" customFormat="1" x14ac:dyDescent="0.25">
      <c r="A648" s="273" t="s">
        <v>120</v>
      </c>
      <c r="B648" s="156" t="s">
        <v>618</v>
      </c>
      <c r="C648" s="444">
        <v>200</v>
      </c>
      <c r="D648" s="27">
        <f>D649</f>
        <v>1510</v>
      </c>
      <c r="E648" s="27">
        <f>E649</f>
        <v>210</v>
      </c>
      <c r="F648" s="27">
        <f>F649</f>
        <v>0</v>
      </c>
      <c r="G648" s="152"/>
    </row>
    <row r="649" spans="1:30" s="177" customFormat="1" x14ac:dyDescent="0.25">
      <c r="A649" s="273" t="s">
        <v>52</v>
      </c>
      <c r="B649" s="156" t="s">
        <v>618</v>
      </c>
      <c r="C649" s="444">
        <v>240</v>
      </c>
      <c r="D649" s="27">
        <f>'Функц. 2025-2027'!F515</f>
        <v>1510</v>
      </c>
      <c r="E649" s="27">
        <f>'Функц. 2025-2027'!H515</f>
        <v>210</v>
      </c>
      <c r="F649" s="27">
        <f>'Функц. 2025-2027'!J515</f>
        <v>0</v>
      </c>
      <c r="G649" s="152"/>
    </row>
    <row r="650" spans="1:30" x14ac:dyDescent="0.25">
      <c r="A650" s="395" t="s">
        <v>242</v>
      </c>
      <c r="B650" s="614" t="s">
        <v>243</v>
      </c>
      <c r="C650" s="532"/>
      <c r="D650" s="30">
        <f>D677+D726+D651</f>
        <v>937192.5</v>
      </c>
      <c r="E650" s="518">
        <f t="shared" ref="E650:F650" si="228">E677+E726+E651</f>
        <v>468351.89999999997</v>
      </c>
      <c r="F650" s="518">
        <f t="shared" si="228"/>
        <v>747059.10000000009</v>
      </c>
      <c r="G650" s="152"/>
    </row>
    <row r="651" spans="1:30" s="177" customFormat="1" x14ac:dyDescent="0.25">
      <c r="A651" s="259" t="s">
        <v>369</v>
      </c>
      <c r="B651" s="156" t="s">
        <v>370</v>
      </c>
      <c r="C651" s="532"/>
      <c r="D651" s="27">
        <f>D652+D667</f>
        <v>450449.80000000005</v>
      </c>
      <c r="E651" s="27">
        <f>E652+E667</f>
        <v>16969.400000000001</v>
      </c>
      <c r="F651" s="27">
        <f>F652+F667</f>
        <v>242420</v>
      </c>
      <c r="G651" s="152"/>
    </row>
    <row r="652" spans="1:30" s="177" customFormat="1" ht="31.5" x14ac:dyDescent="0.25">
      <c r="A652" s="259" t="s">
        <v>393</v>
      </c>
      <c r="B652" s="156" t="s">
        <v>394</v>
      </c>
      <c r="C652" s="525"/>
      <c r="D652" s="27">
        <f>D662+D659+D653+D656</f>
        <v>277992.7</v>
      </c>
      <c r="E652" s="517">
        <f t="shared" ref="E652:AD652" si="229">E662+E659+E653+E656</f>
        <v>0</v>
      </c>
      <c r="F652" s="517">
        <f t="shared" si="229"/>
        <v>0</v>
      </c>
      <c r="G652" s="517">
        <f t="shared" si="229"/>
        <v>0</v>
      </c>
      <c r="H652" s="517">
        <f t="shared" si="229"/>
        <v>0</v>
      </c>
      <c r="I652" s="517">
        <f t="shared" si="229"/>
        <v>0</v>
      </c>
      <c r="J652" s="517">
        <f t="shared" si="229"/>
        <v>0</v>
      </c>
      <c r="K652" s="517">
        <f t="shared" si="229"/>
        <v>0</v>
      </c>
      <c r="L652" s="517">
        <f t="shared" si="229"/>
        <v>0</v>
      </c>
      <c r="M652" s="517">
        <f t="shared" si="229"/>
        <v>0</v>
      </c>
      <c r="N652" s="517">
        <f t="shared" si="229"/>
        <v>0</v>
      </c>
      <c r="O652" s="517">
        <f t="shared" si="229"/>
        <v>0</v>
      </c>
      <c r="P652" s="517">
        <f t="shared" si="229"/>
        <v>0</v>
      </c>
      <c r="Q652" s="517">
        <f t="shared" si="229"/>
        <v>0</v>
      </c>
      <c r="R652" s="517">
        <f t="shared" si="229"/>
        <v>0</v>
      </c>
      <c r="S652" s="517">
        <f t="shared" si="229"/>
        <v>0</v>
      </c>
      <c r="T652" s="517">
        <f t="shared" si="229"/>
        <v>0</v>
      </c>
      <c r="U652" s="517">
        <f t="shared" si="229"/>
        <v>0</v>
      </c>
      <c r="V652" s="517">
        <f t="shared" si="229"/>
        <v>0</v>
      </c>
      <c r="W652" s="517">
        <f t="shared" si="229"/>
        <v>0</v>
      </c>
      <c r="X652" s="517">
        <f t="shared" si="229"/>
        <v>0</v>
      </c>
      <c r="Y652" s="517">
        <f t="shared" si="229"/>
        <v>0</v>
      </c>
      <c r="Z652" s="517">
        <f t="shared" si="229"/>
        <v>0</v>
      </c>
      <c r="AA652" s="517">
        <f t="shared" si="229"/>
        <v>0</v>
      </c>
      <c r="AB652" s="517">
        <f t="shared" si="229"/>
        <v>0</v>
      </c>
      <c r="AC652" s="517">
        <f t="shared" si="229"/>
        <v>0</v>
      </c>
      <c r="AD652" s="517">
        <f t="shared" si="229"/>
        <v>0</v>
      </c>
    </row>
    <row r="653" spans="1:30" s="519" customFormat="1" ht="31.5" x14ac:dyDescent="0.25">
      <c r="A653" s="457" t="s">
        <v>808</v>
      </c>
      <c r="B653" s="542" t="s">
        <v>809</v>
      </c>
      <c r="C653" s="473"/>
      <c r="D653" s="517">
        <f>D654</f>
        <v>487</v>
      </c>
      <c r="E653" s="517">
        <f t="shared" ref="E653:F654" si="230">E654</f>
        <v>0</v>
      </c>
      <c r="F653" s="517">
        <f t="shared" si="230"/>
        <v>0</v>
      </c>
      <c r="G653" s="520"/>
    </row>
    <row r="654" spans="1:30" s="519" customFormat="1" x14ac:dyDescent="0.25">
      <c r="A654" s="451" t="s">
        <v>120</v>
      </c>
      <c r="B654" s="542" t="s">
        <v>809</v>
      </c>
      <c r="C654" s="473" t="s">
        <v>37</v>
      </c>
      <c r="D654" s="517">
        <f>D655</f>
        <v>487</v>
      </c>
      <c r="E654" s="517">
        <f t="shared" si="230"/>
        <v>0</v>
      </c>
      <c r="F654" s="517">
        <f t="shared" si="230"/>
        <v>0</v>
      </c>
      <c r="G654" s="517">
        <f t="shared" ref="G654:AD654" si="231">G655</f>
        <v>0</v>
      </c>
      <c r="H654" s="517">
        <f t="shared" si="231"/>
        <v>0</v>
      </c>
      <c r="I654" s="517">
        <f t="shared" si="231"/>
        <v>0</v>
      </c>
      <c r="J654" s="517">
        <f t="shared" si="231"/>
        <v>0</v>
      </c>
      <c r="K654" s="517">
        <f t="shared" si="231"/>
        <v>0</v>
      </c>
      <c r="L654" s="517">
        <f t="shared" si="231"/>
        <v>0</v>
      </c>
      <c r="M654" s="517">
        <f t="shared" si="231"/>
        <v>0</v>
      </c>
      <c r="N654" s="517">
        <f t="shared" si="231"/>
        <v>0</v>
      </c>
      <c r="O654" s="517">
        <f t="shared" si="231"/>
        <v>0</v>
      </c>
      <c r="P654" s="517">
        <f t="shared" si="231"/>
        <v>0</v>
      </c>
      <c r="Q654" s="517">
        <f t="shared" si="231"/>
        <v>0</v>
      </c>
      <c r="R654" s="517">
        <f t="shared" si="231"/>
        <v>0</v>
      </c>
      <c r="S654" s="517">
        <f t="shared" si="231"/>
        <v>0</v>
      </c>
      <c r="T654" s="517">
        <f t="shared" si="231"/>
        <v>0</v>
      </c>
      <c r="U654" s="517">
        <f t="shared" si="231"/>
        <v>0</v>
      </c>
      <c r="V654" s="517">
        <f t="shared" si="231"/>
        <v>0</v>
      </c>
      <c r="W654" s="517">
        <f t="shared" si="231"/>
        <v>0</v>
      </c>
      <c r="X654" s="517">
        <f t="shared" si="231"/>
        <v>0</v>
      </c>
      <c r="Y654" s="517">
        <f t="shared" si="231"/>
        <v>0</v>
      </c>
      <c r="Z654" s="517">
        <f t="shared" si="231"/>
        <v>0</v>
      </c>
      <c r="AA654" s="517">
        <f t="shared" si="231"/>
        <v>0</v>
      </c>
      <c r="AB654" s="517">
        <f t="shared" si="231"/>
        <v>0</v>
      </c>
      <c r="AC654" s="517">
        <f t="shared" si="231"/>
        <v>0</v>
      </c>
      <c r="AD654" s="517">
        <f t="shared" si="231"/>
        <v>0</v>
      </c>
    </row>
    <row r="655" spans="1:30" s="519" customFormat="1" x14ac:dyDescent="0.25">
      <c r="A655" s="451" t="s">
        <v>52</v>
      </c>
      <c r="B655" s="542" t="s">
        <v>809</v>
      </c>
      <c r="C655" s="473" t="s">
        <v>65</v>
      </c>
      <c r="D655" s="517">
        <f>'Функц. 2025-2027'!F521</f>
        <v>487</v>
      </c>
      <c r="E655" s="517">
        <f>'Функц. 2025-2027'!H521</f>
        <v>0</v>
      </c>
      <c r="F655" s="517">
        <f>'Функц. 2025-2027'!J521</f>
        <v>0</v>
      </c>
      <c r="G655" s="520"/>
    </row>
    <row r="656" spans="1:30" s="519" customFormat="1" x14ac:dyDescent="0.25">
      <c r="A656" s="451" t="s">
        <v>829</v>
      </c>
      <c r="B656" s="542" t="s">
        <v>830</v>
      </c>
      <c r="C656" s="454"/>
      <c r="D656" s="517">
        <f>D657</f>
        <v>14734.3</v>
      </c>
      <c r="E656" s="517">
        <f t="shared" ref="E656:F657" si="232">E657</f>
        <v>0</v>
      </c>
      <c r="F656" s="517">
        <f t="shared" si="232"/>
        <v>0</v>
      </c>
      <c r="G656" s="520"/>
    </row>
    <row r="657" spans="1:30" s="519" customFormat="1" x14ac:dyDescent="0.25">
      <c r="A657" s="451" t="s">
        <v>120</v>
      </c>
      <c r="B657" s="542" t="s">
        <v>830</v>
      </c>
      <c r="C657" s="482">
        <v>200</v>
      </c>
      <c r="D657" s="517">
        <f>D658</f>
        <v>14734.3</v>
      </c>
      <c r="E657" s="517">
        <f t="shared" si="232"/>
        <v>0</v>
      </c>
      <c r="F657" s="517">
        <f t="shared" si="232"/>
        <v>0</v>
      </c>
      <c r="G657" s="520"/>
    </row>
    <row r="658" spans="1:30" s="519" customFormat="1" x14ac:dyDescent="0.25">
      <c r="A658" s="451" t="s">
        <v>52</v>
      </c>
      <c r="B658" s="542" t="s">
        <v>830</v>
      </c>
      <c r="C658" s="454">
        <v>240</v>
      </c>
      <c r="D658" s="517">
        <f>'Функц. 2025-2027'!F524</f>
        <v>14734.3</v>
      </c>
      <c r="E658" s="517">
        <f>'Функц. 2025-2027'!H523</f>
        <v>0</v>
      </c>
      <c r="F658" s="517">
        <f>'Функц. 2025-2027'!J524</f>
        <v>0</v>
      </c>
      <c r="G658" s="520"/>
    </row>
    <row r="659" spans="1:30" s="519" customFormat="1" x14ac:dyDescent="0.25">
      <c r="A659" s="451" t="s">
        <v>753</v>
      </c>
      <c r="B659" s="612" t="s">
        <v>754</v>
      </c>
      <c r="C659" s="468"/>
      <c r="D659" s="517">
        <f>D660</f>
        <v>30471.4</v>
      </c>
      <c r="E659" s="517">
        <f t="shared" ref="E659:AD660" si="233">E660</f>
        <v>0</v>
      </c>
      <c r="F659" s="517">
        <f t="shared" si="233"/>
        <v>0</v>
      </c>
      <c r="G659" s="517">
        <f t="shared" si="233"/>
        <v>0</v>
      </c>
      <c r="H659" s="517">
        <f t="shared" si="233"/>
        <v>0</v>
      </c>
      <c r="I659" s="517">
        <f t="shared" si="233"/>
        <v>0</v>
      </c>
      <c r="J659" s="517">
        <f t="shared" si="233"/>
        <v>0</v>
      </c>
      <c r="K659" s="517">
        <f t="shared" si="233"/>
        <v>0</v>
      </c>
      <c r="L659" s="517">
        <f t="shared" si="233"/>
        <v>0</v>
      </c>
      <c r="M659" s="517">
        <f t="shared" si="233"/>
        <v>0</v>
      </c>
      <c r="N659" s="517">
        <f t="shared" si="233"/>
        <v>0</v>
      </c>
      <c r="O659" s="517">
        <f t="shared" si="233"/>
        <v>0</v>
      </c>
      <c r="P659" s="517">
        <f t="shared" si="233"/>
        <v>0</v>
      </c>
      <c r="Q659" s="517">
        <f t="shared" si="233"/>
        <v>0</v>
      </c>
      <c r="R659" s="517">
        <f t="shared" si="233"/>
        <v>0</v>
      </c>
      <c r="S659" s="517">
        <f t="shared" si="233"/>
        <v>0</v>
      </c>
      <c r="T659" s="517">
        <f t="shared" si="233"/>
        <v>0</v>
      </c>
      <c r="U659" s="517">
        <f t="shared" si="233"/>
        <v>0</v>
      </c>
      <c r="V659" s="517">
        <f t="shared" si="233"/>
        <v>0</v>
      </c>
      <c r="W659" s="517">
        <f t="shared" si="233"/>
        <v>0</v>
      </c>
      <c r="X659" s="517">
        <f t="shared" si="233"/>
        <v>0</v>
      </c>
      <c r="Y659" s="517">
        <f t="shared" si="233"/>
        <v>0</v>
      </c>
      <c r="Z659" s="517">
        <f t="shared" si="233"/>
        <v>0</v>
      </c>
      <c r="AA659" s="517">
        <f t="shared" si="233"/>
        <v>0</v>
      </c>
      <c r="AB659" s="517">
        <f t="shared" si="233"/>
        <v>0</v>
      </c>
      <c r="AC659" s="517">
        <f t="shared" si="233"/>
        <v>0</v>
      </c>
      <c r="AD659" s="517">
        <f t="shared" si="233"/>
        <v>0</v>
      </c>
    </row>
    <row r="660" spans="1:30" s="519" customFormat="1" x14ac:dyDescent="0.25">
      <c r="A660" s="451" t="s">
        <v>120</v>
      </c>
      <c r="B660" s="612" t="s">
        <v>754</v>
      </c>
      <c r="C660" s="468" t="s">
        <v>37</v>
      </c>
      <c r="D660" s="517">
        <f>D661</f>
        <v>30471.4</v>
      </c>
      <c r="E660" s="517">
        <f t="shared" si="233"/>
        <v>0</v>
      </c>
      <c r="F660" s="517">
        <f t="shared" si="233"/>
        <v>0</v>
      </c>
      <c r="G660" s="520"/>
    </row>
    <row r="661" spans="1:30" s="519" customFormat="1" x14ac:dyDescent="0.25">
      <c r="A661" s="451" t="s">
        <v>52</v>
      </c>
      <c r="B661" s="612" t="s">
        <v>754</v>
      </c>
      <c r="C661" s="468" t="s">
        <v>65</v>
      </c>
      <c r="D661" s="517">
        <f>'Функц. 2025-2027'!F527</f>
        <v>30471.4</v>
      </c>
      <c r="E661" s="140">
        <f>'Функц. 2025-2027'!H527</f>
        <v>0</v>
      </c>
      <c r="F661" s="140">
        <f>'Функц. 2025-2027'!J527</f>
        <v>0</v>
      </c>
      <c r="G661" s="520"/>
    </row>
    <row r="662" spans="1:30" s="177" customFormat="1" x14ac:dyDescent="0.25">
      <c r="A662" s="523" t="s">
        <v>396</v>
      </c>
      <c r="B662" s="156" t="s">
        <v>397</v>
      </c>
      <c r="C662" s="525"/>
      <c r="D662" s="27">
        <f>D663+D665</f>
        <v>232300</v>
      </c>
      <c r="E662" s="27">
        <f t="shared" ref="D662:F663" si="234">E663</f>
        <v>0</v>
      </c>
      <c r="F662" s="140">
        <f t="shared" si="234"/>
        <v>0</v>
      </c>
      <c r="G662" s="152"/>
    </row>
    <row r="663" spans="1:30" s="177" customFormat="1" x14ac:dyDescent="0.25">
      <c r="A663" s="523" t="s">
        <v>120</v>
      </c>
      <c r="B663" s="156" t="s">
        <v>397</v>
      </c>
      <c r="C663" s="525" t="s">
        <v>37</v>
      </c>
      <c r="D663" s="27">
        <f t="shared" si="234"/>
        <v>205026.5</v>
      </c>
      <c r="E663" s="27">
        <f t="shared" si="234"/>
        <v>0</v>
      </c>
      <c r="F663" s="140">
        <f t="shared" si="234"/>
        <v>0</v>
      </c>
      <c r="G663" s="152"/>
    </row>
    <row r="664" spans="1:30" s="177" customFormat="1" x14ac:dyDescent="0.25">
      <c r="A664" s="523" t="s">
        <v>52</v>
      </c>
      <c r="B664" s="156" t="s">
        <v>397</v>
      </c>
      <c r="C664" s="525" t="s">
        <v>65</v>
      </c>
      <c r="D664" s="27">
        <f>'Функц. 2025-2027'!F530</f>
        <v>205026.5</v>
      </c>
      <c r="E664" s="27">
        <f>'Функц. 2025-2027'!H530</f>
        <v>0</v>
      </c>
      <c r="F664" s="140">
        <f>'Функц. 2025-2027'!J530</f>
        <v>0</v>
      </c>
      <c r="G664" s="152"/>
    </row>
    <row r="665" spans="1:30" s="519" customFormat="1" ht="31.5" x14ac:dyDescent="0.25">
      <c r="A665" s="523" t="s">
        <v>60</v>
      </c>
      <c r="B665" s="156" t="s">
        <v>397</v>
      </c>
      <c r="C665" s="525" t="s">
        <v>386</v>
      </c>
      <c r="D665" s="517">
        <f>D666</f>
        <v>27273.500000000004</v>
      </c>
      <c r="E665" s="517">
        <f t="shared" ref="E665:F665" si="235">E666</f>
        <v>0</v>
      </c>
      <c r="F665" s="517">
        <f t="shared" si="235"/>
        <v>0</v>
      </c>
      <c r="G665" s="520"/>
    </row>
    <row r="666" spans="1:30" s="519" customFormat="1" x14ac:dyDescent="0.25">
      <c r="A666" s="523" t="s">
        <v>61</v>
      </c>
      <c r="B666" s="156" t="s">
        <v>397</v>
      </c>
      <c r="C666" s="525" t="s">
        <v>387</v>
      </c>
      <c r="D666" s="517">
        <f>'Функц. 2025-2027'!F532</f>
        <v>27273.500000000004</v>
      </c>
      <c r="E666" s="517">
        <v>0</v>
      </c>
      <c r="F666" s="140">
        <v>0</v>
      </c>
      <c r="G666" s="520"/>
    </row>
    <row r="667" spans="1:30" s="177" customFormat="1" x14ac:dyDescent="0.25">
      <c r="A667" s="257" t="s">
        <v>649</v>
      </c>
      <c r="B667" s="156" t="s">
        <v>650</v>
      </c>
      <c r="C667" s="525"/>
      <c r="D667" s="27">
        <f>D671+D674+D668</f>
        <v>172457.1</v>
      </c>
      <c r="E667" s="517">
        <f t="shared" ref="E667:F667" si="236">E671+E674+E668</f>
        <v>16969.400000000001</v>
      </c>
      <c r="F667" s="517">
        <f t="shared" si="236"/>
        <v>242420</v>
      </c>
      <c r="G667" s="152"/>
    </row>
    <row r="668" spans="1:30" s="519" customFormat="1" ht="63" x14ac:dyDescent="0.25">
      <c r="A668" s="466" t="s">
        <v>789</v>
      </c>
      <c r="B668" s="409" t="s">
        <v>790</v>
      </c>
      <c r="C668" s="473"/>
      <c r="D668" s="517">
        <f>D669</f>
        <v>30382</v>
      </c>
      <c r="E668" s="517">
        <f t="shared" ref="E668:F669" si="237">E669</f>
        <v>0</v>
      </c>
      <c r="F668" s="517">
        <f t="shared" si="237"/>
        <v>0</v>
      </c>
      <c r="G668" s="520"/>
    </row>
    <row r="669" spans="1:30" s="519" customFormat="1" x14ac:dyDescent="0.25">
      <c r="A669" s="451" t="s">
        <v>120</v>
      </c>
      <c r="B669" s="409" t="s">
        <v>790</v>
      </c>
      <c r="C669" s="473" t="s">
        <v>37</v>
      </c>
      <c r="D669" s="517">
        <f>D670</f>
        <v>30382</v>
      </c>
      <c r="E669" s="517">
        <f t="shared" si="237"/>
        <v>0</v>
      </c>
      <c r="F669" s="517">
        <f t="shared" si="237"/>
        <v>0</v>
      </c>
      <c r="G669" s="520"/>
    </row>
    <row r="670" spans="1:30" s="519" customFormat="1" x14ac:dyDescent="0.25">
      <c r="A670" s="451" t="s">
        <v>52</v>
      </c>
      <c r="B670" s="409" t="s">
        <v>790</v>
      </c>
      <c r="C670" s="473" t="s">
        <v>65</v>
      </c>
      <c r="D670" s="517">
        <f>'Функц. 2025-2027'!F536</f>
        <v>30382</v>
      </c>
      <c r="E670" s="140">
        <f>'Функц. 2025-2027'!H536</f>
        <v>0</v>
      </c>
      <c r="F670" s="140">
        <f>'Функц. 2025-2027'!J536</f>
        <v>0</v>
      </c>
      <c r="G670" s="520"/>
    </row>
    <row r="671" spans="1:30" s="177" customFormat="1" ht="47.25" x14ac:dyDescent="0.25">
      <c r="A671" s="523" t="s">
        <v>648</v>
      </c>
      <c r="B671" s="156" t="s">
        <v>651</v>
      </c>
      <c r="C671" s="525"/>
      <c r="D671" s="27">
        <f xml:space="preserve"> D672</f>
        <v>142075.1</v>
      </c>
      <c r="E671" s="140">
        <f xml:space="preserve"> E672</f>
        <v>0</v>
      </c>
      <c r="F671" s="140">
        <f xml:space="preserve"> F672</f>
        <v>0</v>
      </c>
      <c r="G671" s="152"/>
    </row>
    <row r="672" spans="1:30" s="177" customFormat="1" x14ac:dyDescent="0.25">
      <c r="A672" s="523" t="s">
        <v>120</v>
      </c>
      <c r="B672" s="156" t="s">
        <v>651</v>
      </c>
      <c r="C672" s="525" t="s">
        <v>37</v>
      </c>
      <c r="D672" s="27">
        <f>D673</f>
        <v>142075.1</v>
      </c>
      <c r="E672" s="140">
        <f>E673</f>
        <v>0</v>
      </c>
      <c r="F672" s="140">
        <f>F673</f>
        <v>0</v>
      </c>
      <c r="G672" s="152"/>
    </row>
    <row r="673" spans="1:30" s="177" customFormat="1" x14ac:dyDescent="0.25">
      <c r="A673" s="523" t="s">
        <v>52</v>
      </c>
      <c r="B673" s="156" t="s">
        <v>651</v>
      </c>
      <c r="C673" s="525" t="s">
        <v>65</v>
      </c>
      <c r="D673" s="27">
        <f>'Функц. 2025-2027'!F539</f>
        <v>142075.1</v>
      </c>
      <c r="E673" s="140">
        <f>'Функц. 2025-2027'!H539</f>
        <v>0</v>
      </c>
      <c r="F673" s="140">
        <f>'Функц. 2025-2027'!J539</f>
        <v>0</v>
      </c>
      <c r="G673" s="267"/>
    </row>
    <row r="674" spans="1:30" s="519" customFormat="1" ht="31.5" x14ac:dyDescent="0.25">
      <c r="A674" s="451" t="s">
        <v>621</v>
      </c>
      <c r="B674" s="156" t="s">
        <v>654</v>
      </c>
      <c r="C674" s="468"/>
      <c r="D674" s="517">
        <f>D675</f>
        <v>0</v>
      </c>
      <c r="E674" s="517">
        <f t="shared" ref="E674:F674" si="238">E675</f>
        <v>16969.400000000001</v>
      </c>
      <c r="F674" s="517">
        <f t="shared" si="238"/>
        <v>242420</v>
      </c>
      <c r="G674" s="267"/>
    </row>
    <row r="675" spans="1:30" s="519" customFormat="1" x14ac:dyDescent="0.25">
      <c r="A675" s="451" t="s">
        <v>120</v>
      </c>
      <c r="B675" s="156" t="s">
        <v>654</v>
      </c>
      <c r="C675" s="468" t="s">
        <v>37</v>
      </c>
      <c r="D675" s="517">
        <f>D676</f>
        <v>0</v>
      </c>
      <c r="E675" s="517">
        <f t="shared" ref="E675:F675" si="239">E676</f>
        <v>16969.400000000001</v>
      </c>
      <c r="F675" s="517">
        <f t="shared" si="239"/>
        <v>242420</v>
      </c>
      <c r="G675" s="267"/>
    </row>
    <row r="676" spans="1:30" s="519" customFormat="1" x14ac:dyDescent="0.25">
      <c r="A676" s="451" t="s">
        <v>52</v>
      </c>
      <c r="B676" s="156" t="s">
        <v>654</v>
      </c>
      <c r="C676" s="468" t="s">
        <v>65</v>
      </c>
      <c r="D676" s="517">
        <f>'Функц. 2025-2027'!F542</f>
        <v>0</v>
      </c>
      <c r="E676" s="140">
        <f>'Функц. 2025-2027'!H542</f>
        <v>16969.400000000001</v>
      </c>
      <c r="F676" s="140">
        <f>'Функц. 2025-2027'!J542</f>
        <v>242420</v>
      </c>
      <c r="G676" s="267"/>
    </row>
    <row r="677" spans="1:30" ht="31.5" x14ac:dyDescent="0.25">
      <c r="A677" s="275" t="s">
        <v>539</v>
      </c>
      <c r="B677" s="156" t="s">
        <v>244</v>
      </c>
      <c r="C677" s="444"/>
      <c r="D677" s="27">
        <f t="shared" ref="D677:AD677" si="240">D678+D718+D722</f>
        <v>457526.3</v>
      </c>
      <c r="E677" s="517">
        <f t="shared" si="240"/>
        <v>422874.59999999992</v>
      </c>
      <c r="F677" s="517">
        <f t="shared" si="240"/>
        <v>476131.2</v>
      </c>
      <c r="G677" s="517">
        <f t="shared" si="240"/>
        <v>0</v>
      </c>
      <c r="H677" s="517">
        <f t="shared" si="240"/>
        <v>0</v>
      </c>
      <c r="I677" s="517">
        <f t="shared" si="240"/>
        <v>0</v>
      </c>
      <c r="J677" s="517">
        <f t="shared" si="240"/>
        <v>0</v>
      </c>
      <c r="K677" s="517">
        <f t="shared" si="240"/>
        <v>0</v>
      </c>
      <c r="L677" s="517">
        <f t="shared" si="240"/>
        <v>0</v>
      </c>
      <c r="M677" s="517">
        <f t="shared" si="240"/>
        <v>0</v>
      </c>
      <c r="N677" s="517">
        <f t="shared" si="240"/>
        <v>0</v>
      </c>
      <c r="O677" s="517">
        <f t="shared" si="240"/>
        <v>0</v>
      </c>
      <c r="P677" s="517">
        <f t="shared" si="240"/>
        <v>0</v>
      </c>
      <c r="Q677" s="517">
        <f t="shared" si="240"/>
        <v>0</v>
      </c>
      <c r="R677" s="517">
        <f t="shared" si="240"/>
        <v>0</v>
      </c>
      <c r="S677" s="517">
        <f t="shared" si="240"/>
        <v>0</v>
      </c>
      <c r="T677" s="517">
        <f t="shared" si="240"/>
        <v>0</v>
      </c>
      <c r="U677" s="517">
        <f t="shared" si="240"/>
        <v>0</v>
      </c>
      <c r="V677" s="517">
        <f t="shared" si="240"/>
        <v>0</v>
      </c>
      <c r="W677" s="517">
        <f t="shared" si="240"/>
        <v>0</v>
      </c>
      <c r="X677" s="517">
        <f t="shared" si="240"/>
        <v>0</v>
      </c>
      <c r="Y677" s="517">
        <f t="shared" si="240"/>
        <v>0</v>
      </c>
      <c r="Z677" s="517">
        <f t="shared" si="240"/>
        <v>0</v>
      </c>
      <c r="AA677" s="517">
        <f t="shared" si="240"/>
        <v>0</v>
      </c>
      <c r="AB677" s="517">
        <f t="shared" si="240"/>
        <v>0</v>
      </c>
      <c r="AC677" s="517">
        <f t="shared" si="240"/>
        <v>0</v>
      </c>
      <c r="AD677" s="517">
        <f t="shared" si="240"/>
        <v>0</v>
      </c>
    </row>
    <row r="678" spans="1:30" ht="31.5" x14ac:dyDescent="0.25">
      <c r="A678" s="257" t="s">
        <v>540</v>
      </c>
      <c r="B678" s="156" t="s">
        <v>245</v>
      </c>
      <c r="C678" s="444"/>
      <c r="D678" s="27">
        <f>D686+D707+D689+D701+D710+D704+D698+D695+D679+D715+D692</f>
        <v>414483.20000000001</v>
      </c>
      <c r="E678" s="517">
        <f t="shared" ref="E678:F678" si="241">E686+E707+E689+E701+E710+E704+E698+E695+E679+E715</f>
        <v>382752.29999999993</v>
      </c>
      <c r="F678" s="517">
        <f t="shared" si="241"/>
        <v>434403.9</v>
      </c>
      <c r="G678" s="152"/>
    </row>
    <row r="679" spans="1:30" s="177" customFormat="1" x14ac:dyDescent="0.25">
      <c r="A679" s="257" t="s">
        <v>631</v>
      </c>
      <c r="B679" s="156" t="s">
        <v>632</v>
      </c>
      <c r="C679" s="429"/>
      <c r="D679" s="27">
        <f>D680+D683</f>
        <v>51087</v>
      </c>
      <c r="E679" s="517">
        <f t="shared" ref="E679:F679" si="242">E680+E683</f>
        <v>21472</v>
      </c>
      <c r="F679" s="517">
        <f t="shared" si="242"/>
        <v>22352</v>
      </c>
      <c r="G679" s="517" t="e">
        <f>#REF!+G680</f>
        <v>#REF!</v>
      </c>
      <c r="H679" s="517" t="e">
        <f>#REF!+H680</f>
        <v>#REF!</v>
      </c>
      <c r="I679" s="517" t="e">
        <f>#REF!+I680</f>
        <v>#REF!</v>
      </c>
      <c r="J679" s="517" t="e">
        <f>#REF!+J680</f>
        <v>#REF!</v>
      </c>
      <c r="K679" s="517" t="e">
        <f>#REF!+K680</f>
        <v>#REF!</v>
      </c>
      <c r="L679" s="517" t="e">
        <f>#REF!+L680</f>
        <v>#REF!</v>
      </c>
      <c r="M679" s="517" t="e">
        <f>#REF!+M680</f>
        <v>#REF!</v>
      </c>
      <c r="N679" s="517" t="e">
        <f>#REF!+N680</f>
        <v>#REF!</v>
      </c>
      <c r="O679" s="517" t="e">
        <f>#REF!+O680</f>
        <v>#REF!</v>
      </c>
      <c r="P679" s="517" t="e">
        <f>#REF!+P680</f>
        <v>#REF!</v>
      </c>
      <c r="Q679" s="517" t="e">
        <f>#REF!+Q680</f>
        <v>#REF!</v>
      </c>
      <c r="R679" s="517" t="e">
        <f>#REF!+R680</f>
        <v>#REF!</v>
      </c>
      <c r="S679" s="517" t="e">
        <f>#REF!+S680</f>
        <v>#REF!</v>
      </c>
      <c r="T679" s="517" t="e">
        <f>#REF!+T680</f>
        <v>#REF!</v>
      </c>
      <c r="U679" s="517" t="e">
        <f>#REF!+U680</f>
        <v>#REF!</v>
      </c>
      <c r="V679" s="517" t="e">
        <f>#REF!+V680</f>
        <v>#REF!</v>
      </c>
      <c r="W679" s="517" t="e">
        <f>#REF!+W680</f>
        <v>#REF!</v>
      </c>
      <c r="X679" s="517" t="e">
        <f>#REF!+X680</f>
        <v>#REF!</v>
      </c>
      <c r="Y679" s="517" t="e">
        <f>#REF!+Y680</f>
        <v>#REF!</v>
      </c>
      <c r="Z679" s="517" t="e">
        <f>#REF!+Z680</f>
        <v>#REF!</v>
      </c>
      <c r="AA679" s="517" t="e">
        <f>#REF!+AA680</f>
        <v>#REF!</v>
      </c>
      <c r="AB679" s="517" t="e">
        <f>#REF!+AB680</f>
        <v>#REF!</v>
      </c>
      <c r="AC679" s="517" t="e">
        <f>#REF!+AC680</f>
        <v>#REF!</v>
      </c>
      <c r="AD679" s="517" t="e">
        <f>#REF!+AD680</f>
        <v>#REF!</v>
      </c>
    </row>
    <row r="680" spans="1:30" s="519" customFormat="1" x14ac:dyDescent="0.25">
      <c r="A680" s="257" t="s">
        <v>722</v>
      </c>
      <c r="B680" s="156" t="s">
        <v>689</v>
      </c>
      <c r="C680" s="444"/>
      <c r="D680" s="517">
        <f>D681</f>
        <v>18637.3</v>
      </c>
      <c r="E680" s="517">
        <f t="shared" ref="E680:F681" si="243">E681</f>
        <v>21472</v>
      </c>
      <c r="F680" s="517">
        <f t="shared" si="243"/>
        <v>22352</v>
      </c>
      <c r="G680" s="520"/>
    </row>
    <row r="681" spans="1:30" s="519" customFormat="1" ht="31.5" x14ac:dyDescent="0.25">
      <c r="A681" s="523" t="s">
        <v>60</v>
      </c>
      <c r="B681" s="156" t="s">
        <v>689</v>
      </c>
      <c r="C681" s="444">
        <v>600</v>
      </c>
      <c r="D681" s="517">
        <f>D682</f>
        <v>18637.3</v>
      </c>
      <c r="E681" s="517">
        <f t="shared" si="243"/>
        <v>21472</v>
      </c>
      <c r="F681" s="517">
        <f t="shared" si="243"/>
        <v>22352</v>
      </c>
      <c r="G681" s="520"/>
    </row>
    <row r="682" spans="1:30" s="519" customFormat="1" x14ac:dyDescent="0.25">
      <c r="A682" s="523" t="s">
        <v>61</v>
      </c>
      <c r="B682" s="156" t="s">
        <v>689</v>
      </c>
      <c r="C682" s="444">
        <v>610</v>
      </c>
      <c r="D682" s="517">
        <f>'Функц. 2025-2027'!F888</f>
        <v>18637.3</v>
      </c>
      <c r="E682" s="140">
        <f>'Функц. 2025-2027'!H888</f>
        <v>21472</v>
      </c>
      <c r="F682" s="140">
        <f>'Функц. 2025-2027'!J888</f>
        <v>22352</v>
      </c>
      <c r="G682" s="520"/>
    </row>
    <row r="683" spans="1:30" s="519" customFormat="1" x14ac:dyDescent="0.25">
      <c r="A683" s="561" t="s">
        <v>778</v>
      </c>
      <c r="B683" s="542" t="s">
        <v>779</v>
      </c>
      <c r="C683" s="326"/>
      <c r="D683" s="517">
        <f>D684</f>
        <v>32449.7</v>
      </c>
      <c r="E683" s="517">
        <f t="shared" ref="E683:F684" si="244">E684</f>
        <v>0</v>
      </c>
      <c r="F683" s="517">
        <f t="shared" si="244"/>
        <v>0</v>
      </c>
      <c r="G683" s="520"/>
    </row>
    <row r="684" spans="1:30" s="519" customFormat="1" x14ac:dyDescent="0.25">
      <c r="A684" s="479" t="s">
        <v>120</v>
      </c>
      <c r="B684" s="542" t="s">
        <v>779</v>
      </c>
      <c r="C684" s="468" t="s">
        <v>37</v>
      </c>
      <c r="D684" s="517">
        <f>D685</f>
        <v>32449.7</v>
      </c>
      <c r="E684" s="517">
        <f t="shared" si="244"/>
        <v>0</v>
      </c>
      <c r="F684" s="517">
        <f t="shared" si="244"/>
        <v>0</v>
      </c>
      <c r="G684" s="520"/>
    </row>
    <row r="685" spans="1:30" s="519" customFormat="1" x14ac:dyDescent="0.25">
      <c r="A685" s="479" t="s">
        <v>52</v>
      </c>
      <c r="B685" s="542" t="s">
        <v>779</v>
      </c>
      <c r="C685" s="468" t="s">
        <v>65</v>
      </c>
      <c r="D685" s="517">
        <f>'Функц. 2025-2027'!F547</f>
        <v>32449.7</v>
      </c>
      <c r="E685" s="140">
        <f>'Функц. 2025-2027'!H547</f>
        <v>0</v>
      </c>
      <c r="F685" s="140">
        <f>'Функц. 2025-2027'!J547</f>
        <v>0</v>
      </c>
      <c r="G685" s="520"/>
    </row>
    <row r="686" spans="1:30" x14ac:dyDescent="0.25">
      <c r="A686" s="277" t="s">
        <v>577</v>
      </c>
      <c r="B686" s="156" t="s">
        <v>576</v>
      </c>
      <c r="C686" s="444"/>
      <c r="D686" s="27">
        <f t="shared" ref="D686:F687" si="245">D687</f>
        <v>0</v>
      </c>
      <c r="E686" s="140">
        <f t="shared" si="245"/>
        <v>4891.6000000000004</v>
      </c>
      <c r="F686" s="140">
        <f t="shared" si="245"/>
        <v>32860.699999999997</v>
      </c>
      <c r="G686" s="152"/>
    </row>
    <row r="687" spans="1:30" x14ac:dyDescent="0.25">
      <c r="A687" s="523" t="s">
        <v>120</v>
      </c>
      <c r="B687" s="156" t="s">
        <v>576</v>
      </c>
      <c r="C687" s="407">
        <v>200</v>
      </c>
      <c r="D687" s="27">
        <f t="shared" si="245"/>
        <v>0</v>
      </c>
      <c r="E687" s="140">
        <f t="shared" si="245"/>
        <v>4891.6000000000004</v>
      </c>
      <c r="F687" s="140">
        <f t="shared" si="245"/>
        <v>32860.699999999997</v>
      </c>
      <c r="G687" s="152"/>
    </row>
    <row r="688" spans="1:30" x14ac:dyDescent="0.25">
      <c r="A688" s="523" t="s">
        <v>52</v>
      </c>
      <c r="B688" s="156" t="s">
        <v>576</v>
      </c>
      <c r="C688" s="444">
        <v>240</v>
      </c>
      <c r="D688" s="27">
        <f>'Функц. 2025-2027'!F550</f>
        <v>0</v>
      </c>
      <c r="E688" s="140">
        <f>'Функц. 2025-2027'!H550</f>
        <v>4891.6000000000004</v>
      </c>
      <c r="F688" s="140">
        <f>'Функц. 2025-2027'!J550</f>
        <v>32860.699999999997</v>
      </c>
      <c r="G688" s="152"/>
    </row>
    <row r="689" spans="1:7" s="177" customFormat="1" x14ac:dyDescent="0.25">
      <c r="A689" s="523" t="s">
        <v>433</v>
      </c>
      <c r="B689" s="156" t="s">
        <v>401</v>
      </c>
      <c r="C689" s="444"/>
      <c r="D689" s="27">
        <f t="shared" ref="D689:F690" si="246">D690</f>
        <v>32793.300000000003</v>
      </c>
      <c r="E689" s="140">
        <f t="shared" si="246"/>
        <v>22488.1</v>
      </c>
      <c r="F689" s="140">
        <f t="shared" si="246"/>
        <v>31269.200000000001</v>
      </c>
      <c r="G689" s="152"/>
    </row>
    <row r="690" spans="1:7" s="177" customFormat="1" x14ac:dyDescent="0.25">
      <c r="A690" s="523" t="s">
        <v>120</v>
      </c>
      <c r="B690" s="156" t="s">
        <v>401</v>
      </c>
      <c r="C690" s="407">
        <v>200</v>
      </c>
      <c r="D690" s="27">
        <f t="shared" si="246"/>
        <v>32793.300000000003</v>
      </c>
      <c r="E690" s="140">
        <f t="shared" si="246"/>
        <v>22488.1</v>
      </c>
      <c r="F690" s="140">
        <f t="shared" si="246"/>
        <v>31269.200000000001</v>
      </c>
      <c r="G690" s="152"/>
    </row>
    <row r="691" spans="1:7" s="177" customFormat="1" x14ac:dyDescent="0.25">
      <c r="A691" s="523" t="s">
        <v>52</v>
      </c>
      <c r="B691" s="156" t="s">
        <v>401</v>
      </c>
      <c r="C691" s="444">
        <v>240</v>
      </c>
      <c r="D691" s="27">
        <f>'Функц. 2025-2027'!F553</f>
        <v>32793.300000000003</v>
      </c>
      <c r="E691" s="140">
        <f>'Функц. 2025-2027'!H553</f>
        <v>22488.1</v>
      </c>
      <c r="F691" s="140">
        <f>'Функц. 2025-2027'!J553</f>
        <v>31269.200000000001</v>
      </c>
      <c r="G691" s="152"/>
    </row>
    <row r="692" spans="1:7" s="519" customFormat="1" x14ac:dyDescent="0.25">
      <c r="A692" s="466" t="s">
        <v>891</v>
      </c>
      <c r="B692" s="542" t="s">
        <v>892</v>
      </c>
      <c r="C692" s="326"/>
      <c r="D692" s="517">
        <f>D693</f>
        <v>853.9</v>
      </c>
      <c r="E692" s="517">
        <f t="shared" ref="E692:F693" si="247">E693</f>
        <v>0</v>
      </c>
      <c r="F692" s="517">
        <f t="shared" si="247"/>
        <v>0</v>
      </c>
      <c r="G692" s="520"/>
    </row>
    <row r="693" spans="1:7" s="519" customFormat="1" ht="31.5" x14ac:dyDescent="0.25">
      <c r="A693" s="451" t="s">
        <v>60</v>
      </c>
      <c r="B693" s="542" t="s">
        <v>892</v>
      </c>
      <c r="C693" s="326">
        <v>600</v>
      </c>
      <c r="D693" s="517">
        <f>D694</f>
        <v>853.9</v>
      </c>
      <c r="E693" s="517">
        <f t="shared" si="247"/>
        <v>0</v>
      </c>
      <c r="F693" s="517">
        <f t="shared" si="247"/>
        <v>0</v>
      </c>
      <c r="G693" s="520"/>
    </row>
    <row r="694" spans="1:7" s="519" customFormat="1" x14ac:dyDescent="0.25">
      <c r="A694" s="451" t="s">
        <v>61</v>
      </c>
      <c r="B694" s="542" t="s">
        <v>892</v>
      </c>
      <c r="C694" s="326">
        <v>610</v>
      </c>
      <c r="D694" s="517">
        <f>'Функц. 2025-2027'!F556</f>
        <v>853.9</v>
      </c>
      <c r="E694" s="140">
        <f>'Функц. 2025-2027'!H556</f>
        <v>0</v>
      </c>
      <c r="F694" s="140">
        <f>'Функц. 2025-2027'!J556</f>
        <v>0</v>
      </c>
      <c r="G694" s="520"/>
    </row>
    <row r="695" spans="1:7" s="177" customFormat="1" ht="31.5" x14ac:dyDescent="0.25">
      <c r="A695" s="523" t="s">
        <v>629</v>
      </c>
      <c r="B695" s="156" t="s">
        <v>628</v>
      </c>
      <c r="C695" s="429"/>
      <c r="D695" s="27">
        <f t="shared" ref="D695:F696" si="248">D696</f>
        <v>15915.2</v>
      </c>
      <c r="E695" s="27">
        <f t="shared" si="248"/>
        <v>16552</v>
      </c>
      <c r="F695" s="27">
        <f t="shared" si="248"/>
        <v>17214</v>
      </c>
      <c r="G695" s="152"/>
    </row>
    <row r="696" spans="1:7" s="177" customFormat="1" x14ac:dyDescent="0.25">
      <c r="A696" s="523" t="s">
        <v>120</v>
      </c>
      <c r="B696" s="156" t="s">
        <v>628</v>
      </c>
      <c r="C696" s="407">
        <v>200</v>
      </c>
      <c r="D696" s="27">
        <f t="shared" si="248"/>
        <v>15915.2</v>
      </c>
      <c r="E696" s="27">
        <f t="shared" si="248"/>
        <v>16552</v>
      </c>
      <c r="F696" s="27">
        <f t="shared" si="248"/>
        <v>17214</v>
      </c>
      <c r="G696" s="152"/>
    </row>
    <row r="697" spans="1:7" s="177" customFormat="1" x14ac:dyDescent="0.25">
      <c r="A697" s="523" t="s">
        <v>52</v>
      </c>
      <c r="B697" s="156" t="s">
        <v>628</v>
      </c>
      <c r="C697" s="429">
        <v>240</v>
      </c>
      <c r="D697" s="27">
        <f>'Функц. 2025-2027'!F559</f>
        <v>15915.2</v>
      </c>
      <c r="E697" s="27">
        <f>'Функц. 2025-2027'!H559</f>
        <v>16552</v>
      </c>
      <c r="F697" s="27">
        <f>'Функц. 2025-2027'!J559</f>
        <v>17214</v>
      </c>
      <c r="G697" s="152"/>
    </row>
    <row r="698" spans="1:7" s="177" customFormat="1" x14ac:dyDescent="0.25">
      <c r="A698" s="523" t="s">
        <v>626</v>
      </c>
      <c r="B698" s="156" t="s">
        <v>627</v>
      </c>
      <c r="C698" s="429"/>
      <c r="D698" s="27">
        <f t="shared" ref="D698:F698" si="249">D699</f>
        <v>14147</v>
      </c>
      <c r="E698" s="27">
        <f t="shared" si="249"/>
        <v>14713</v>
      </c>
      <c r="F698" s="27">
        <f t="shared" si="249"/>
        <v>15301</v>
      </c>
      <c r="G698" s="152"/>
    </row>
    <row r="699" spans="1:7" s="177" customFormat="1" x14ac:dyDescent="0.25">
      <c r="A699" s="523" t="s">
        <v>120</v>
      </c>
      <c r="B699" s="156" t="s">
        <v>627</v>
      </c>
      <c r="C699" s="407">
        <v>200</v>
      </c>
      <c r="D699" s="27">
        <f>D700</f>
        <v>14147</v>
      </c>
      <c r="E699" s="27">
        <f>E700</f>
        <v>14713</v>
      </c>
      <c r="F699" s="27">
        <f>F700</f>
        <v>15301</v>
      </c>
      <c r="G699" s="152"/>
    </row>
    <row r="700" spans="1:7" s="177" customFormat="1" x14ac:dyDescent="0.25">
      <c r="A700" s="523" t="s">
        <v>52</v>
      </c>
      <c r="B700" s="156" t="s">
        <v>627</v>
      </c>
      <c r="C700" s="429">
        <v>240</v>
      </c>
      <c r="D700" s="27">
        <f>'Функц. 2025-2027'!F562</f>
        <v>14147</v>
      </c>
      <c r="E700" s="140">
        <f>'Функц. 2025-2027'!H562</f>
        <v>14713</v>
      </c>
      <c r="F700" s="140">
        <f>'Функц. 2025-2027'!J562</f>
        <v>15301</v>
      </c>
      <c r="G700" s="152"/>
    </row>
    <row r="701" spans="1:7" s="177" customFormat="1" x14ac:dyDescent="0.25">
      <c r="A701" s="523" t="s">
        <v>440</v>
      </c>
      <c r="B701" s="612" t="s">
        <v>707</v>
      </c>
      <c r="C701" s="525"/>
      <c r="D701" s="27">
        <f t="shared" ref="D701:F702" si="250">D702</f>
        <v>7288</v>
      </c>
      <c r="E701" s="27">
        <f t="shared" si="250"/>
        <v>7580</v>
      </c>
      <c r="F701" s="27">
        <f t="shared" si="250"/>
        <v>7883</v>
      </c>
      <c r="G701" s="152"/>
    </row>
    <row r="702" spans="1:7" s="177" customFormat="1" x14ac:dyDescent="0.25">
      <c r="A702" s="523" t="s">
        <v>120</v>
      </c>
      <c r="B702" s="612" t="s">
        <v>707</v>
      </c>
      <c r="C702" s="525" t="s">
        <v>37</v>
      </c>
      <c r="D702" s="27">
        <f t="shared" si="250"/>
        <v>7288</v>
      </c>
      <c r="E702" s="27">
        <f t="shared" si="250"/>
        <v>7580</v>
      </c>
      <c r="F702" s="27">
        <f t="shared" si="250"/>
        <v>7883</v>
      </c>
      <c r="G702" s="152"/>
    </row>
    <row r="703" spans="1:7" s="177" customFormat="1" x14ac:dyDescent="0.25">
      <c r="A703" s="523" t="s">
        <v>52</v>
      </c>
      <c r="B703" s="612" t="s">
        <v>707</v>
      </c>
      <c r="C703" s="525" t="s">
        <v>65</v>
      </c>
      <c r="D703" s="27">
        <f>'Функц. 2025-2027'!F365</f>
        <v>7288</v>
      </c>
      <c r="E703" s="140">
        <f>'Функц. 2025-2027'!H365</f>
        <v>7580</v>
      </c>
      <c r="F703" s="140">
        <f>'Функц. 2025-2027'!J365</f>
        <v>7883</v>
      </c>
      <c r="G703" s="152"/>
    </row>
    <row r="704" spans="1:7" s="519" customFormat="1" x14ac:dyDescent="0.25">
      <c r="A704" s="523" t="s">
        <v>428</v>
      </c>
      <c r="B704" s="612" t="s">
        <v>690</v>
      </c>
      <c r="C704" s="444"/>
      <c r="D704" s="27">
        <f t="shared" ref="D704:F705" si="251">D705</f>
        <v>3833</v>
      </c>
      <c r="E704" s="27">
        <f t="shared" si="251"/>
        <v>3986</v>
      </c>
      <c r="F704" s="27">
        <f t="shared" si="251"/>
        <v>4145</v>
      </c>
      <c r="G704" s="520"/>
    </row>
    <row r="705" spans="1:30" s="519" customFormat="1" x14ac:dyDescent="0.25">
      <c r="A705" s="523" t="s">
        <v>120</v>
      </c>
      <c r="B705" s="612" t="s">
        <v>690</v>
      </c>
      <c r="C705" s="407">
        <v>200</v>
      </c>
      <c r="D705" s="27">
        <f t="shared" si="251"/>
        <v>3833</v>
      </c>
      <c r="E705" s="27">
        <f t="shared" si="251"/>
        <v>3986</v>
      </c>
      <c r="F705" s="27">
        <f t="shared" si="251"/>
        <v>4145</v>
      </c>
      <c r="G705" s="520"/>
    </row>
    <row r="706" spans="1:30" s="519" customFormat="1" x14ac:dyDescent="0.25">
      <c r="A706" s="523" t="s">
        <v>52</v>
      </c>
      <c r="B706" s="612" t="s">
        <v>690</v>
      </c>
      <c r="C706" s="444">
        <v>240</v>
      </c>
      <c r="D706" s="27">
        <f>'Функц. 2025-2027'!F565</f>
        <v>3833</v>
      </c>
      <c r="E706" s="140">
        <f>'Функц. 2025-2027'!H565</f>
        <v>3986</v>
      </c>
      <c r="F706" s="140">
        <f>'Функц. 2025-2027'!J565</f>
        <v>4145</v>
      </c>
      <c r="G706" s="520"/>
    </row>
    <row r="707" spans="1:30" s="519" customFormat="1" ht="31.5" x14ac:dyDescent="0.25">
      <c r="A707" s="277" t="s">
        <v>583</v>
      </c>
      <c r="B707" s="156" t="s">
        <v>419</v>
      </c>
      <c r="C707" s="444"/>
      <c r="D707" s="27">
        <f t="shared" ref="D707:F708" si="252">D708</f>
        <v>286360.7</v>
      </c>
      <c r="E707" s="140">
        <f t="shared" si="252"/>
        <v>287936</v>
      </c>
      <c r="F707" s="140">
        <f t="shared" si="252"/>
        <v>301763</v>
      </c>
      <c r="G707" s="520"/>
    </row>
    <row r="708" spans="1:30" s="519" customFormat="1" ht="31.5" x14ac:dyDescent="0.25">
      <c r="A708" s="273" t="s">
        <v>60</v>
      </c>
      <c r="B708" s="156" t="s">
        <v>419</v>
      </c>
      <c r="C708" s="407">
        <v>600</v>
      </c>
      <c r="D708" s="27">
        <f t="shared" si="252"/>
        <v>286360.7</v>
      </c>
      <c r="E708" s="140">
        <f t="shared" si="252"/>
        <v>287936</v>
      </c>
      <c r="F708" s="140">
        <f t="shared" si="252"/>
        <v>301763</v>
      </c>
      <c r="G708" s="520"/>
    </row>
    <row r="709" spans="1:30" s="519" customFormat="1" x14ac:dyDescent="0.25">
      <c r="A709" s="273" t="s">
        <v>61</v>
      </c>
      <c r="B709" s="156" t="s">
        <v>419</v>
      </c>
      <c r="C709" s="444">
        <v>610</v>
      </c>
      <c r="D709" s="27">
        <f>'Функц. 2025-2027'!F568</f>
        <v>286360.7</v>
      </c>
      <c r="E709" s="140">
        <f>'Функц. 2025-2027'!H568</f>
        <v>287936</v>
      </c>
      <c r="F709" s="140">
        <f>'Функц. 2025-2027'!J568</f>
        <v>301763</v>
      </c>
      <c r="G709" s="520"/>
    </row>
    <row r="710" spans="1:30" s="519" customFormat="1" ht="31.5" x14ac:dyDescent="0.25">
      <c r="A710" s="273" t="s">
        <v>328</v>
      </c>
      <c r="B710" s="156" t="s">
        <v>542</v>
      </c>
      <c r="C710" s="444"/>
      <c r="D710" s="27">
        <f>D711+D713</f>
        <v>1612</v>
      </c>
      <c r="E710" s="27">
        <f>E711+E713</f>
        <v>1614</v>
      </c>
      <c r="F710" s="27">
        <f>F711+F713</f>
        <v>1616</v>
      </c>
      <c r="G710" s="520"/>
    </row>
    <row r="711" spans="1:30" s="519" customFormat="1" ht="47.25" x14ac:dyDescent="0.25">
      <c r="A711" s="273" t="s">
        <v>41</v>
      </c>
      <c r="B711" s="156" t="s">
        <v>542</v>
      </c>
      <c r="C711" s="444">
        <v>100</v>
      </c>
      <c r="D711" s="27">
        <f>D712</f>
        <v>1541</v>
      </c>
      <c r="E711" s="27">
        <f>E712</f>
        <v>1541</v>
      </c>
      <c r="F711" s="27">
        <f>F712</f>
        <v>1541</v>
      </c>
      <c r="G711" s="520"/>
    </row>
    <row r="712" spans="1:30" s="519" customFormat="1" x14ac:dyDescent="0.25">
      <c r="A712" s="273" t="s">
        <v>96</v>
      </c>
      <c r="B712" s="156" t="s">
        <v>542</v>
      </c>
      <c r="C712" s="444">
        <v>120</v>
      </c>
      <c r="D712" s="27">
        <f>'Функц. 2025-2027'!F585</f>
        <v>1541</v>
      </c>
      <c r="E712" s="140">
        <f>'Функц. 2025-2027'!H585</f>
        <v>1541</v>
      </c>
      <c r="F712" s="140">
        <f>'Функц. 2025-2027'!K585</f>
        <v>1541</v>
      </c>
      <c r="G712" s="520"/>
    </row>
    <row r="713" spans="1:30" s="519" customFormat="1" x14ac:dyDescent="0.25">
      <c r="A713" s="273" t="s">
        <v>120</v>
      </c>
      <c r="B713" s="156" t="s">
        <v>542</v>
      </c>
      <c r="C713" s="444">
        <v>200</v>
      </c>
      <c r="D713" s="27">
        <f>D714</f>
        <v>71</v>
      </c>
      <c r="E713" s="27">
        <f>E714</f>
        <v>73</v>
      </c>
      <c r="F713" s="27">
        <f>F714</f>
        <v>75</v>
      </c>
      <c r="G713" s="520"/>
    </row>
    <row r="714" spans="1:30" s="519" customFormat="1" x14ac:dyDescent="0.25">
      <c r="A714" s="273" t="s">
        <v>52</v>
      </c>
      <c r="B714" s="156" t="s">
        <v>542</v>
      </c>
      <c r="C714" s="444">
        <v>240</v>
      </c>
      <c r="D714" s="27">
        <f>'Функц. 2025-2027'!F587</f>
        <v>71</v>
      </c>
      <c r="E714" s="140">
        <f>'Функц. 2025-2027'!H587</f>
        <v>73</v>
      </c>
      <c r="F714" s="140">
        <f>'Функц. 2025-2027'!K587</f>
        <v>75</v>
      </c>
      <c r="G714" s="520"/>
    </row>
    <row r="715" spans="1:30" s="501" customFormat="1" x14ac:dyDescent="0.25">
      <c r="A715" s="451" t="s">
        <v>641</v>
      </c>
      <c r="B715" s="612" t="s">
        <v>642</v>
      </c>
      <c r="C715" s="468"/>
      <c r="D715" s="490">
        <f>D716</f>
        <v>593.1</v>
      </c>
      <c r="E715" s="490">
        <f t="shared" ref="E715:F716" si="253">E716</f>
        <v>1519.6</v>
      </c>
      <c r="F715" s="490">
        <f t="shared" si="253"/>
        <v>0</v>
      </c>
      <c r="G715" s="503"/>
    </row>
    <row r="716" spans="1:30" s="501" customFormat="1" x14ac:dyDescent="0.25">
      <c r="A716" s="451" t="s">
        <v>120</v>
      </c>
      <c r="B716" s="612" t="s">
        <v>642</v>
      </c>
      <c r="C716" s="468" t="s">
        <v>37</v>
      </c>
      <c r="D716" s="490">
        <f>D717</f>
        <v>593.1</v>
      </c>
      <c r="E716" s="490">
        <f t="shared" si="253"/>
        <v>1519.6</v>
      </c>
      <c r="F716" s="490">
        <f t="shared" si="253"/>
        <v>0</v>
      </c>
      <c r="G716" s="490">
        <f t="shared" ref="G716:AD716" si="254">G717</f>
        <v>0</v>
      </c>
      <c r="H716" s="490">
        <f t="shared" si="254"/>
        <v>0</v>
      </c>
      <c r="I716" s="490">
        <f t="shared" si="254"/>
        <v>0</v>
      </c>
      <c r="J716" s="490">
        <f t="shared" si="254"/>
        <v>0</v>
      </c>
      <c r="K716" s="490">
        <f t="shared" si="254"/>
        <v>0</v>
      </c>
      <c r="L716" s="490">
        <f t="shared" si="254"/>
        <v>0</v>
      </c>
      <c r="M716" s="490">
        <f t="shared" si="254"/>
        <v>0</v>
      </c>
      <c r="N716" s="490">
        <f t="shared" si="254"/>
        <v>0</v>
      </c>
      <c r="O716" s="490">
        <f t="shared" si="254"/>
        <v>0</v>
      </c>
      <c r="P716" s="490">
        <f t="shared" si="254"/>
        <v>0</v>
      </c>
      <c r="Q716" s="490">
        <f t="shared" si="254"/>
        <v>0</v>
      </c>
      <c r="R716" s="490">
        <f t="shared" si="254"/>
        <v>0</v>
      </c>
      <c r="S716" s="490">
        <f t="shared" si="254"/>
        <v>0</v>
      </c>
      <c r="T716" s="490">
        <f t="shared" si="254"/>
        <v>0</v>
      </c>
      <c r="U716" s="490">
        <f t="shared" si="254"/>
        <v>0</v>
      </c>
      <c r="V716" s="490">
        <f t="shared" si="254"/>
        <v>0</v>
      </c>
      <c r="W716" s="490">
        <f t="shared" si="254"/>
        <v>0</v>
      </c>
      <c r="X716" s="490">
        <f t="shared" si="254"/>
        <v>0</v>
      </c>
      <c r="Y716" s="490">
        <f t="shared" si="254"/>
        <v>0</v>
      </c>
      <c r="Z716" s="490">
        <f t="shared" si="254"/>
        <v>0</v>
      </c>
      <c r="AA716" s="490">
        <f t="shared" si="254"/>
        <v>0</v>
      </c>
      <c r="AB716" s="490">
        <f t="shared" si="254"/>
        <v>0</v>
      </c>
      <c r="AC716" s="490">
        <f t="shared" si="254"/>
        <v>0</v>
      </c>
      <c r="AD716" s="490">
        <f t="shared" si="254"/>
        <v>0</v>
      </c>
    </row>
    <row r="717" spans="1:30" s="501" customFormat="1" x14ac:dyDescent="0.25">
      <c r="A717" s="451" t="s">
        <v>52</v>
      </c>
      <c r="B717" s="612" t="s">
        <v>642</v>
      </c>
      <c r="C717" s="468" t="s">
        <v>65</v>
      </c>
      <c r="D717" s="490">
        <f>'Функц. 2025-2027'!F482</f>
        <v>593.1</v>
      </c>
      <c r="E717" s="140">
        <f>'Функц. 2025-2027'!H482</f>
        <v>1519.6</v>
      </c>
      <c r="F717" s="140">
        <f>'Функц. 2025-2027'!J482</f>
        <v>0</v>
      </c>
      <c r="G717" s="503"/>
    </row>
    <row r="718" spans="1:30" s="177" customFormat="1" ht="31.5" x14ac:dyDescent="0.25">
      <c r="A718" s="257" t="s">
        <v>321</v>
      </c>
      <c r="B718" s="156" t="s">
        <v>541</v>
      </c>
      <c r="C718" s="407"/>
      <c r="D718" s="27">
        <f t="shared" ref="D718:F720" si="255">D719</f>
        <v>4464</v>
      </c>
      <c r="E718" s="27">
        <f t="shared" si="255"/>
        <v>0</v>
      </c>
      <c r="F718" s="27">
        <f t="shared" si="255"/>
        <v>0</v>
      </c>
      <c r="G718" s="152"/>
    </row>
    <row r="719" spans="1:30" s="177" customFormat="1" x14ac:dyDescent="0.25">
      <c r="A719" s="257" t="s">
        <v>606</v>
      </c>
      <c r="B719" s="612" t="s">
        <v>681</v>
      </c>
      <c r="C719" s="525"/>
      <c r="D719" s="27">
        <f t="shared" si="255"/>
        <v>4464</v>
      </c>
      <c r="E719" s="27">
        <f t="shared" si="255"/>
        <v>0</v>
      </c>
      <c r="F719" s="27">
        <f t="shared" si="255"/>
        <v>0</v>
      </c>
      <c r="G719" s="152"/>
    </row>
    <row r="720" spans="1:30" s="177" customFormat="1" x14ac:dyDescent="0.25">
      <c r="A720" s="523" t="s">
        <v>42</v>
      </c>
      <c r="B720" s="612" t="s">
        <v>681</v>
      </c>
      <c r="C720" s="525" t="s">
        <v>346</v>
      </c>
      <c r="D720" s="27">
        <f t="shared" si="255"/>
        <v>4464</v>
      </c>
      <c r="E720" s="27">
        <f t="shared" si="255"/>
        <v>0</v>
      </c>
      <c r="F720" s="27">
        <f t="shared" si="255"/>
        <v>0</v>
      </c>
      <c r="G720" s="152"/>
    </row>
    <row r="721" spans="1:7" s="177" customFormat="1" ht="31.5" x14ac:dyDescent="0.25">
      <c r="A721" s="523" t="s">
        <v>121</v>
      </c>
      <c r="B721" s="612" t="s">
        <v>681</v>
      </c>
      <c r="C721" s="525" t="s">
        <v>347</v>
      </c>
      <c r="D721" s="27">
        <f>'Функц. 2025-2027'!F410</f>
        <v>4464</v>
      </c>
      <c r="E721" s="140">
        <f>'Функц. 2025-2027'!H410</f>
        <v>0</v>
      </c>
      <c r="F721" s="140">
        <f>'Функц. 2025-2027'!J410</f>
        <v>0</v>
      </c>
      <c r="G721" s="152"/>
    </row>
    <row r="722" spans="1:7" s="519" customFormat="1" x14ac:dyDescent="0.25">
      <c r="A722" s="466" t="s">
        <v>649</v>
      </c>
      <c r="B722" s="555" t="s">
        <v>822</v>
      </c>
      <c r="C722" s="525"/>
      <c r="D722" s="517">
        <f>D723</f>
        <v>38579.1</v>
      </c>
      <c r="E722" s="517">
        <f t="shared" ref="E722:F722" si="256">E723</f>
        <v>40122.300000000003</v>
      </c>
      <c r="F722" s="517">
        <f t="shared" si="256"/>
        <v>41727.300000000003</v>
      </c>
      <c r="G722" s="520"/>
    </row>
    <row r="723" spans="1:7" s="519" customFormat="1" x14ac:dyDescent="0.25">
      <c r="A723" s="466" t="s">
        <v>395</v>
      </c>
      <c r="B723" s="555" t="s">
        <v>791</v>
      </c>
      <c r="C723" s="525"/>
      <c r="D723" s="517">
        <f>D724</f>
        <v>38579.1</v>
      </c>
      <c r="E723" s="517">
        <f t="shared" ref="E723:F724" si="257">E724</f>
        <v>40122.300000000003</v>
      </c>
      <c r="F723" s="517">
        <f t="shared" si="257"/>
        <v>41727.300000000003</v>
      </c>
      <c r="G723" s="520"/>
    </row>
    <row r="724" spans="1:7" s="519" customFormat="1" x14ac:dyDescent="0.25">
      <c r="A724" s="451" t="s">
        <v>120</v>
      </c>
      <c r="B724" s="555" t="s">
        <v>791</v>
      </c>
      <c r="C724" s="525" t="s">
        <v>37</v>
      </c>
      <c r="D724" s="517">
        <f>D725</f>
        <v>38579.1</v>
      </c>
      <c r="E724" s="517">
        <f t="shared" si="257"/>
        <v>40122.300000000003</v>
      </c>
      <c r="F724" s="517">
        <f t="shared" si="257"/>
        <v>41727.300000000003</v>
      </c>
      <c r="G724" s="520"/>
    </row>
    <row r="725" spans="1:7" s="519" customFormat="1" x14ac:dyDescent="0.25">
      <c r="A725" s="451" t="s">
        <v>52</v>
      </c>
      <c r="B725" s="555" t="s">
        <v>791</v>
      </c>
      <c r="C725" s="525" t="s">
        <v>65</v>
      </c>
      <c r="D725" s="517">
        <f>'Функц. 2025-2027'!F572</f>
        <v>38579.1</v>
      </c>
      <c r="E725" s="140">
        <f>'Функц. 2025-2027'!H572</f>
        <v>40122.300000000003</v>
      </c>
      <c r="F725" s="140">
        <f>'Функц. 2025-2027'!J572</f>
        <v>41727.300000000003</v>
      </c>
      <c r="G725" s="520"/>
    </row>
    <row r="726" spans="1:7" x14ac:dyDescent="0.25">
      <c r="A726" s="275" t="s">
        <v>189</v>
      </c>
      <c r="B726" s="156" t="s">
        <v>320</v>
      </c>
      <c r="C726" s="444"/>
      <c r="D726" s="27">
        <f t="shared" ref="D726:F727" si="258">D727</f>
        <v>29216.400000000001</v>
      </c>
      <c r="E726" s="27">
        <f t="shared" si="258"/>
        <v>28507.899999999998</v>
      </c>
      <c r="F726" s="27">
        <f t="shared" si="258"/>
        <v>28507.899999999998</v>
      </c>
      <c r="G726" s="152"/>
    </row>
    <row r="727" spans="1:7" ht="31.5" x14ac:dyDescent="0.25">
      <c r="A727" s="275" t="s">
        <v>191</v>
      </c>
      <c r="B727" s="156" t="s">
        <v>322</v>
      </c>
      <c r="C727" s="444"/>
      <c r="D727" s="27">
        <f t="shared" si="258"/>
        <v>29216.400000000001</v>
      </c>
      <c r="E727" s="27">
        <f t="shared" si="258"/>
        <v>28507.899999999998</v>
      </c>
      <c r="F727" s="27">
        <f t="shared" si="258"/>
        <v>28507.899999999998</v>
      </c>
      <c r="G727" s="152"/>
    </row>
    <row r="728" spans="1:7" x14ac:dyDescent="0.25">
      <c r="A728" s="277" t="s">
        <v>205</v>
      </c>
      <c r="B728" s="156" t="s">
        <v>543</v>
      </c>
      <c r="C728" s="444"/>
      <c r="D728" s="27">
        <f>D729+D734+D737</f>
        <v>29216.400000000001</v>
      </c>
      <c r="E728" s="140">
        <f>E729+E734+E737</f>
        <v>28507.899999999998</v>
      </c>
      <c r="F728" s="140">
        <f>F729+F734+F737</f>
        <v>28507.899999999998</v>
      </c>
      <c r="G728" s="152"/>
    </row>
    <row r="729" spans="1:7" ht="31.5" x14ac:dyDescent="0.25">
      <c r="A729" s="273" t="s">
        <v>206</v>
      </c>
      <c r="B729" s="156" t="s">
        <v>544</v>
      </c>
      <c r="C729" s="595"/>
      <c r="D729" s="27">
        <f>D730+D732</f>
        <v>2285.8999999999996</v>
      </c>
      <c r="E729" s="517">
        <f t="shared" ref="E729:F729" si="259">E730+E732</f>
        <v>2325.6</v>
      </c>
      <c r="F729" s="517">
        <f t="shared" si="259"/>
        <v>2325.6</v>
      </c>
      <c r="G729" s="152"/>
    </row>
    <row r="730" spans="1:7" x14ac:dyDescent="0.25">
      <c r="A730" s="273" t="s">
        <v>120</v>
      </c>
      <c r="B730" s="156" t="s">
        <v>544</v>
      </c>
      <c r="C730" s="444">
        <v>200</v>
      </c>
      <c r="D730" s="27">
        <f>D731</f>
        <v>2285.7999999999997</v>
      </c>
      <c r="E730" s="140">
        <f>E731</f>
        <v>2325.6</v>
      </c>
      <c r="F730" s="140">
        <f>F731</f>
        <v>2325.6</v>
      </c>
      <c r="G730" s="152"/>
    </row>
    <row r="731" spans="1:7" x14ac:dyDescent="0.25">
      <c r="A731" s="273" t="s">
        <v>52</v>
      </c>
      <c r="B731" s="156" t="s">
        <v>544</v>
      </c>
      <c r="C731" s="444">
        <v>240</v>
      </c>
      <c r="D731" s="27">
        <f>'Функц. 2025-2027'!F593</f>
        <v>2285.7999999999997</v>
      </c>
      <c r="E731" s="140">
        <f>'Функц. 2025-2027'!H593</f>
        <v>2325.6</v>
      </c>
      <c r="F731" s="140">
        <f>'Функц. 2025-2027'!J593</f>
        <v>2325.6</v>
      </c>
      <c r="G731" s="152"/>
    </row>
    <row r="732" spans="1:7" s="519" customFormat="1" x14ac:dyDescent="0.25">
      <c r="A732" s="451" t="s">
        <v>42</v>
      </c>
      <c r="B732" s="156" t="s">
        <v>544</v>
      </c>
      <c r="C732" s="444">
        <v>800</v>
      </c>
      <c r="D732" s="517">
        <f>D733</f>
        <v>0.1</v>
      </c>
      <c r="E732" s="517">
        <f t="shared" ref="E732:F732" si="260">E733</f>
        <v>0</v>
      </c>
      <c r="F732" s="517">
        <f t="shared" si="260"/>
        <v>0</v>
      </c>
      <c r="G732" s="520"/>
    </row>
    <row r="733" spans="1:7" s="519" customFormat="1" x14ac:dyDescent="0.25">
      <c r="A733" s="451" t="s">
        <v>57</v>
      </c>
      <c r="B733" s="156" t="s">
        <v>544</v>
      </c>
      <c r="C733" s="444">
        <v>850</v>
      </c>
      <c r="D733" s="517">
        <f>'Функц. 2025-2027'!F595</f>
        <v>0.1</v>
      </c>
      <c r="E733" s="140">
        <f>'Функц. 2025-2027'!H595</f>
        <v>0</v>
      </c>
      <c r="F733" s="140">
        <f>'Функц. 2025-2027'!J595</f>
        <v>0</v>
      </c>
      <c r="G733" s="520"/>
    </row>
    <row r="734" spans="1:7" ht="31.5" x14ac:dyDescent="0.25">
      <c r="A734" s="273" t="s">
        <v>207</v>
      </c>
      <c r="B734" s="156" t="s">
        <v>545</v>
      </c>
      <c r="C734" s="595"/>
      <c r="D734" s="27">
        <f t="shared" ref="D734:F735" si="261">D735</f>
        <v>17192.5</v>
      </c>
      <c r="E734" s="140">
        <f t="shared" si="261"/>
        <v>16444.3</v>
      </c>
      <c r="F734" s="140">
        <f t="shared" si="261"/>
        <v>16444.3</v>
      </c>
      <c r="G734" s="152"/>
    </row>
    <row r="735" spans="1:7" ht="47.25" x14ac:dyDescent="0.25">
      <c r="A735" s="273" t="s">
        <v>41</v>
      </c>
      <c r="B735" s="156" t="s">
        <v>545</v>
      </c>
      <c r="C735" s="444">
        <v>100</v>
      </c>
      <c r="D735" s="27">
        <f t="shared" si="261"/>
        <v>17192.5</v>
      </c>
      <c r="E735" s="140">
        <f t="shared" si="261"/>
        <v>16444.3</v>
      </c>
      <c r="F735" s="140">
        <f t="shared" si="261"/>
        <v>16444.3</v>
      </c>
      <c r="G735" s="152"/>
    </row>
    <row r="736" spans="1:7" x14ac:dyDescent="0.25">
      <c r="A736" s="273" t="s">
        <v>96</v>
      </c>
      <c r="B736" s="156" t="s">
        <v>545</v>
      </c>
      <c r="C736" s="444">
        <v>120</v>
      </c>
      <c r="D736" s="27">
        <f>'Функц. 2025-2027'!F598</f>
        <v>17192.5</v>
      </c>
      <c r="E736" s="140">
        <f>'Функц. 2025-2027'!H598</f>
        <v>16444.3</v>
      </c>
      <c r="F736" s="140">
        <f>'Функц. 2025-2027'!J598</f>
        <v>16444.3</v>
      </c>
      <c r="G736" s="152"/>
    </row>
    <row r="737" spans="1:7" ht="31.5" x14ac:dyDescent="0.25">
      <c r="A737" s="273" t="s">
        <v>208</v>
      </c>
      <c r="B737" s="156" t="s">
        <v>546</v>
      </c>
      <c r="C737" s="595"/>
      <c r="D737" s="27">
        <f t="shared" ref="D737:F738" si="262">D738</f>
        <v>9738</v>
      </c>
      <c r="E737" s="140">
        <f t="shared" si="262"/>
        <v>9738</v>
      </c>
      <c r="F737" s="140">
        <f t="shared" si="262"/>
        <v>9738</v>
      </c>
      <c r="G737" s="152"/>
    </row>
    <row r="738" spans="1:7" ht="47.25" x14ac:dyDescent="0.25">
      <c r="A738" s="273" t="s">
        <v>41</v>
      </c>
      <c r="B738" s="156" t="s">
        <v>546</v>
      </c>
      <c r="C738" s="444">
        <v>100</v>
      </c>
      <c r="D738" s="27">
        <f t="shared" si="262"/>
        <v>9738</v>
      </c>
      <c r="E738" s="140">
        <f t="shared" si="262"/>
        <v>9738</v>
      </c>
      <c r="F738" s="140">
        <f t="shared" si="262"/>
        <v>9738</v>
      </c>
      <c r="G738" s="152"/>
    </row>
    <row r="739" spans="1:7" x14ac:dyDescent="0.25">
      <c r="A739" s="273" t="s">
        <v>96</v>
      </c>
      <c r="B739" s="156" t="s">
        <v>546</v>
      </c>
      <c r="C739" s="444">
        <v>120</v>
      </c>
      <c r="D739" s="27">
        <f>'Функц. 2025-2027'!F601</f>
        <v>9738</v>
      </c>
      <c r="E739" s="140">
        <f>'Функц. 2025-2027'!H601</f>
        <v>9738</v>
      </c>
      <c r="F739" s="140">
        <f>'Функц. 2025-2027'!J601</f>
        <v>9738</v>
      </c>
      <c r="G739" s="152"/>
    </row>
    <row r="740" spans="1:7" s="177" customFormat="1" x14ac:dyDescent="0.25">
      <c r="A740" s="397" t="s">
        <v>640</v>
      </c>
      <c r="B740" s="614" t="s">
        <v>630</v>
      </c>
      <c r="C740" s="532"/>
      <c r="D740" s="518">
        <f>D741</f>
        <v>790</v>
      </c>
      <c r="E740" s="518">
        <f t="shared" ref="E740:F744" si="263">E741</f>
        <v>0</v>
      </c>
      <c r="F740" s="518">
        <f t="shared" si="263"/>
        <v>0</v>
      </c>
      <c r="G740" s="152"/>
    </row>
    <row r="741" spans="1:7" s="177" customFormat="1" ht="36" customHeight="1" x14ac:dyDescent="0.25">
      <c r="A741" s="273" t="s">
        <v>727</v>
      </c>
      <c r="B741" s="156" t="s">
        <v>728</v>
      </c>
      <c r="C741" s="430"/>
      <c r="D741" s="27">
        <f>D742</f>
        <v>790</v>
      </c>
      <c r="E741" s="27">
        <f t="shared" si="263"/>
        <v>0</v>
      </c>
      <c r="F741" s="27">
        <f t="shared" si="263"/>
        <v>0</v>
      </c>
      <c r="G741" s="152"/>
    </row>
    <row r="742" spans="1:7" s="177" customFormat="1" x14ac:dyDescent="0.25">
      <c r="A742" s="275" t="s">
        <v>729</v>
      </c>
      <c r="B742" s="156" t="s">
        <v>730</v>
      </c>
      <c r="C742" s="430"/>
      <c r="D742" s="27">
        <f>D743</f>
        <v>790</v>
      </c>
      <c r="E742" s="27">
        <f t="shared" si="263"/>
        <v>0</v>
      </c>
      <c r="F742" s="27">
        <f t="shared" si="263"/>
        <v>0</v>
      </c>
      <c r="G742" s="152"/>
    </row>
    <row r="743" spans="1:7" s="177" customFormat="1" ht="34.5" customHeight="1" x14ac:dyDescent="0.25">
      <c r="A743" s="275" t="s">
        <v>731</v>
      </c>
      <c r="B743" s="156" t="s">
        <v>732</v>
      </c>
      <c r="C743" s="430"/>
      <c r="D743" s="27">
        <f>D744</f>
        <v>790</v>
      </c>
      <c r="E743" s="27">
        <f t="shared" si="263"/>
        <v>0</v>
      </c>
      <c r="F743" s="27">
        <f t="shared" si="263"/>
        <v>0</v>
      </c>
      <c r="G743" s="152"/>
    </row>
    <row r="744" spans="1:7" s="177" customFormat="1" x14ac:dyDescent="0.25">
      <c r="A744" s="273" t="s">
        <v>120</v>
      </c>
      <c r="B744" s="156" t="s">
        <v>732</v>
      </c>
      <c r="C744" s="430" t="s">
        <v>37</v>
      </c>
      <c r="D744" s="27">
        <f>D745</f>
        <v>790</v>
      </c>
      <c r="E744" s="27">
        <f t="shared" si="263"/>
        <v>0</v>
      </c>
      <c r="F744" s="27">
        <f t="shared" si="263"/>
        <v>0</v>
      </c>
      <c r="G744" s="152"/>
    </row>
    <row r="745" spans="1:7" s="177" customFormat="1" x14ac:dyDescent="0.25">
      <c r="A745" s="273" t="s">
        <v>52</v>
      </c>
      <c r="B745" s="156" t="s">
        <v>732</v>
      </c>
      <c r="C745" s="430" t="s">
        <v>65</v>
      </c>
      <c r="D745" s="27">
        <f>'Функц. 2025-2027'!F416</f>
        <v>790</v>
      </c>
      <c r="E745" s="140">
        <f>'Функц. 2025-2027'!H416</f>
        <v>0</v>
      </c>
      <c r="F745" s="140">
        <f>'Функц. 2025-2027'!J416</f>
        <v>0</v>
      </c>
      <c r="G745" s="152"/>
    </row>
    <row r="746" spans="1:7" s="173" customFormat="1" x14ac:dyDescent="0.25">
      <c r="A746" s="401" t="s">
        <v>348</v>
      </c>
      <c r="B746" s="156"/>
      <c r="C746" s="605"/>
      <c r="D746" s="30">
        <f>D650+D644+D621+D591+D550+D441+D375+D356+D280+D266+D248+D204+D91+D19+D740+D274+D13+D435</f>
        <v>5375276.5</v>
      </c>
      <c r="E746" s="518">
        <f>E650+E644+E621+E591+E550+E441+E375+E356+E280+E266+E248+E204+E91+E19+E740+E274+E13+E435</f>
        <v>3326656.0999999996</v>
      </c>
      <c r="F746" s="518">
        <f>F650+F644+F621+F591+F550+F441+F375+F356+F280+F266+F248+F204+F91+F19+F740+F274+F13+F435</f>
        <v>3158981.1999999997</v>
      </c>
      <c r="G746" s="152"/>
    </row>
    <row r="747" spans="1:7" s="172" customFormat="1" ht="31.5" x14ac:dyDescent="0.25">
      <c r="A747" s="395" t="s">
        <v>274</v>
      </c>
      <c r="B747" s="614" t="s">
        <v>99</v>
      </c>
      <c r="C747" s="600"/>
      <c r="D747" s="30">
        <f>D748+D751+D754+G757+D764</f>
        <v>30800.7</v>
      </c>
      <c r="E747" s="30">
        <f>E748+E751+E754+H757+E764</f>
        <v>27504.300000000003</v>
      </c>
      <c r="F747" s="30">
        <f>F748+F751+F754+I757+F764</f>
        <v>27504.300000000003</v>
      </c>
      <c r="G747" s="152"/>
    </row>
    <row r="748" spans="1:7" x14ac:dyDescent="0.25">
      <c r="A748" s="402" t="s">
        <v>281</v>
      </c>
      <c r="B748" s="156" t="s">
        <v>284</v>
      </c>
      <c r="C748" s="444"/>
      <c r="D748" s="27">
        <f t="shared" ref="D748:F749" si="264">D749</f>
        <v>3495</v>
      </c>
      <c r="E748" s="27">
        <f t="shared" si="264"/>
        <v>2936</v>
      </c>
      <c r="F748" s="27">
        <f t="shared" si="264"/>
        <v>2936</v>
      </c>
      <c r="G748" s="152"/>
    </row>
    <row r="749" spans="1:7" ht="47.25" x14ac:dyDescent="0.25">
      <c r="A749" s="273" t="s">
        <v>41</v>
      </c>
      <c r="B749" s="156" t="s">
        <v>284</v>
      </c>
      <c r="C749" s="407">
        <v>100</v>
      </c>
      <c r="D749" s="27">
        <f t="shared" si="264"/>
        <v>3495</v>
      </c>
      <c r="E749" s="27">
        <f t="shared" si="264"/>
        <v>2936</v>
      </c>
      <c r="F749" s="27">
        <f t="shared" si="264"/>
        <v>2936</v>
      </c>
      <c r="G749" s="152"/>
    </row>
    <row r="750" spans="1:7" x14ac:dyDescent="0.25">
      <c r="A750" s="273" t="s">
        <v>96</v>
      </c>
      <c r="B750" s="156" t="s">
        <v>284</v>
      </c>
      <c r="C750" s="444">
        <v>120</v>
      </c>
      <c r="D750" s="27">
        <f>'Функц. 2025-2027'!F33</f>
        <v>3495</v>
      </c>
      <c r="E750" s="27">
        <f>'Функц. 2025-2027'!H33</f>
        <v>2936</v>
      </c>
      <c r="F750" s="27">
        <f>'Функц. 2025-2027'!J33</f>
        <v>2936</v>
      </c>
      <c r="G750" s="152"/>
    </row>
    <row r="751" spans="1:7" x14ac:dyDescent="0.25">
      <c r="A751" s="273" t="s">
        <v>329</v>
      </c>
      <c r="B751" s="156" t="s">
        <v>285</v>
      </c>
      <c r="C751" s="444"/>
      <c r="D751" s="27">
        <f t="shared" ref="D751:F752" si="265">D752</f>
        <v>2501</v>
      </c>
      <c r="E751" s="27">
        <f t="shared" si="265"/>
        <v>2279.5</v>
      </c>
      <c r="F751" s="27">
        <f t="shared" si="265"/>
        <v>2279.5</v>
      </c>
      <c r="G751" s="152"/>
    </row>
    <row r="752" spans="1:7" ht="47.25" x14ac:dyDescent="0.25">
      <c r="A752" s="273" t="s">
        <v>41</v>
      </c>
      <c r="B752" s="156" t="s">
        <v>285</v>
      </c>
      <c r="C752" s="407">
        <v>100</v>
      </c>
      <c r="D752" s="27">
        <f t="shared" si="265"/>
        <v>2501</v>
      </c>
      <c r="E752" s="27">
        <f t="shared" si="265"/>
        <v>2279.5</v>
      </c>
      <c r="F752" s="27">
        <f t="shared" si="265"/>
        <v>2279.5</v>
      </c>
      <c r="G752" s="152"/>
    </row>
    <row r="753" spans="1:7" x14ac:dyDescent="0.25">
      <c r="A753" s="273" t="s">
        <v>96</v>
      </c>
      <c r="B753" s="156" t="s">
        <v>285</v>
      </c>
      <c r="C753" s="444">
        <v>120</v>
      </c>
      <c r="D753" s="27">
        <f>'Функц. 2025-2027'!F36</f>
        <v>2501</v>
      </c>
      <c r="E753" s="27">
        <f>'Функц. 2025-2027'!H36</f>
        <v>2279.5</v>
      </c>
      <c r="F753" s="27">
        <f>'Функц. 2025-2027'!J36</f>
        <v>2279.5</v>
      </c>
      <c r="G753" s="152"/>
    </row>
    <row r="754" spans="1:7" x14ac:dyDescent="0.25">
      <c r="A754" s="276" t="s">
        <v>282</v>
      </c>
      <c r="B754" s="156" t="s">
        <v>283</v>
      </c>
      <c r="C754" s="444"/>
      <c r="D754" s="27">
        <f>D755+D758+D761</f>
        <v>13654.3</v>
      </c>
      <c r="E754" s="27">
        <f>E755+E758+E761</f>
        <v>11525.4</v>
      </c>
      <c r="F754" s="27">
        <f>F755+F758+F761</f>
        <v>11525.4</v>
      </c>
      <c r="G754" s="152"/>
    </row>
    <row r="755" spans="1:7" ht="31.5" x14ac:dyDescent="0.25">
      <c r="A755" s="273" t="s">
        <v>286</v>
      </c>
      <c r="B755" s="156" t="s">
        <v>287</v>
      </c>
      <c r="C755" s="444"/>
      <c r="D755" s="27">
        <f t="shared" ref="D755:F756" si="266">D756</f>
        <v>3529.9</v>
      </c>
      <c r="E755" s="27">
        <f t="shared" si="266"/>
        <v>1849.9</v>
      </c>
      <c r="F755" s="27">
        <f t="shared" si="266"/>
        <v>1849.9</v>
      </c>
      <c r="G755" s="152"/>
    </row>
    <row r="756" spans="1:7" x14ac:dyDescent="0.25">
      <c r="A756" s="273" t="s">
        <v>120</v>
      </c>
      <c r="B756" s="156" t="s">
        <v>287</v>
      </c>
      <c r="C756" s="444">
        <v>200</v>
      </c>
      <c r="D756" s="27">
        <f t="shared" si="266"/>
        <v>3529.9</v>
      </c>
      <c r="E756" s="27">
        <f t="shared" si="266"/>
        <v>1849.9</v>
      </c>
      <c r="F756" s="27">
        <f t="shared" si="266"/>
        <v>1849.9</v>
      </c>
      <c r="G756" s="152"/>
    </row>
    <row r="757" spans="1:7" x14ac:dyDescent="0.25">
      <c r="A757" s="273" t="s">
        <v>52</v>
      </c>
      <c r="B757" s="156" t="s">
        <v>287</v>
      </c>
      <c r="C757" s="444">
        <v>240</v>
      </c>
      <c r="D757" s="27">
        <f>'Функц. 2025-2027'!F40</f>
        <v>3529.9</v>
      </c>
      <c r="E757" s="27">
        <f>'Функц. 2025-2027'!H40</f>
        <v>1849.9</v>
      </c>
      <c r="F757" s="27">
        <f>'Функц. 2025-2027'!J40</f>
        <v>1849.9</v>
      </c>
      <c r="G757" s="152"/>
    </row>
    <row r="758" spans="1:7" ht="47.25" x14ac:dyDescent="0.25">
      <c r="A758" s="523" t="s">
        <v>290</v>
      </c>
      <c r="B758" s="156" t="s">
        <v>288</v>
      </c>
      <c r="C758" s="444"/>
      <c r="D758" s="27">
        <f t="shared" ref="D758:F759" si="267">D759</f>
        <v>5228</v>
      </c>
      <c r="E758" s="27">
        <f t="shared" si="267"/>
        <v>4779.1000000000004</v>
      </c>
      <c r="F758" s="27">
        <f t="shared" si="267"/>
        <v>4779.1000000000004</v>
      </c>
      <c r="G758" s="152"/>
    </row>
    <row r="759" spans="1:7" ht="47.25" x14ac:dyDescent="0.25">
      <c r="A759" s="273" t="s">
        <v>41</v>
      </c>
      <c r="B759" s="156" t="s">
        <v>288</v>
      </c>
      <c r="C759" s="407">
        <v>100</v>
      </c>
      <c r="D759" s="27">
        <f t="shared" si="267"/>
        <v>5228</v>
      </c>
      <c r="E759" s="27">
        <f t="shared" si="267"/>
        <v>4779.1000000000004</v>
      </c>
      <c r="F759" s="27">
        <f t="shared" si="267"/>
        <v>4779.1000000000004</v>
      </c>
      <c r="G759" s="152"/>
    </row>
    <row r="760" spans="1:7" x14ac:dyDescent="0.25">
      <c r="A760" s="273" t="s">
        <v>96</v>
      </c>
      <c r="B760" s="156" t="s">
        <v>288</v>
      </c>
      <c r="C760" s="444">
        <v>120</v>
      </c>
      <c r="D760" s="27">
        <f>'Функц. 2025-2027'!F43</f>
        <v>5228</v>
      </c>
      <c r="E760" s="27">
        <f>'Функц. 2025-2027'!H43</f>
        <v>4779.1000000000004</v>
      </c>
      <c r="F760" s="27">
        <f>'Функц. 2025-2027'!J43</f>
        <v>4779.1000000000004</v>
      </c>
      <c r="G760" s="152"/>
    </row>
    <row r="761" spans="1:7" ht="31.5" x14ac:dyDescent="0.25">
      <c r="A761" s="273" t="s">
        <v>291</v>
      </c>
      <c r="B761" s="156" t="s">
        <v>289</v>
      </c>
      <c r="C761" s="444"/>
      <c r="D761" s="27">
        <f t="shared" ref="D761:F762" si="268">D762</f>
        <v>4896.3999999999996</v>
      </c>
      <c r="E761" s="27">
        <f t="shared" si="268"/>
        <v>4896.3999999999996</v>
      </c>
      <c r="F761" s="27">
        <f t="shared" si="268"/>
        <v>4896.3999999999996</v>
      </c>
      <c r="G761" s="152"/>
    </row>
    <row r="762" spans="1:7" ht="47.25" x14ac:dyDescent="0.25">
      <c r="A762" s="273" t="s">
        <v>41</v>
      </c>
      <c r="B762" s="156" t="s">
        <v>289</v>
      </c>
      <c r="C762" s="407">
        <v>100</v>
      </c>
      <c r="D762" s="27">
        <f t="shared" si="268"/>
        <v>4896.3999999999996</v>
      </c>
      <c r="E762" s="27">
        <f t="shared" si="268"/>
        <v>4896.3999999999996</v>
      </c>
      <c r="F762" s="27">
        <f t="shared" si="268"/>
        <v>4896.3999999999996</v>
      </c>
      <c r="G762" s="152"/>
    </row>
    <row r="763" spans="1:7" x14ac:dyDescent="0.25">
      <c r="A763" s="273" t="s">
        <v>96</v>
      </c>
      <c r="B763" s="156" t="s">
        <v>289</v>
      </c>
      <c r="C763" s="444">
        <v>120</v>
      </c>
      <c r="D763" s="27">
        <f>'Функц. 2025-2027'!F46</f>
        <v>4896.3999999999996</v>
      </c>
      <c r="E763" s="27">
        <f>'Функц. 2025-2027'!H46</f>
        <v>4896.3999999999996</v>
      </c>
      <c r="F763" s="27">
        <f>'Функц. 2025-2027'!J46</f>
        <v>4896.3999999999996</v>
      </c>
      <c r="G763" s="152"/>
    </row>
    <row r="764" spans="1:7" x14ac:dyDescent="0.25">
      <c r="A764" s="276" t="s">
        <v>272</v>
      </c>
      <c r="B764" s="156" t="s">
        <v>273</v>
      </c>
      <c r="C764" s="444"/>
      <c r="D764" s="27">
        <f>D765+D768+D771+D774</f>
        <v>11150.400000000001</v>
      </c>
      <c r="E764" s="27">
        <f>E765+E768+E771+E774</f>
        <v>10763.400000000001</v>
      </c>
      <c r="F764" s="27">
        <f>F765+F768+F771+F774</f>
        <v>10763.400000000001</v>
      </c>
      <c r="G764" s="152"/>
    </row>
    <row r="765" spans="1:7" x14ac:dyDescent="0.25">
      <c r="A765" s="273" t="s">
        <v>275</v>
      </c>
      <c r="B765" s="156" t="s">
        <v>276</v>
      </c>
      <c r="C765" s="444"/>
      <c r="D765" s="27">
        <f t="shared" ref="D765:F766" si="269">D766</f>
        <v>1322.2</v>
      </c>
      <c r="E765" s="27">
        <f t="shared" si="269"/>
        <v>1348.2</v>
      </c>
      <c r="F765" s="27">
        <f t="shared" si="269"/>
        <v>1348.2</v>
      </c>
      <c r="G765" s="152"/>
    </row>
    <row r="766" spans="1:7" x14ac:dyDescent="0.25">
      <c r="A766" s="273" t="s">
        <v>120</v>
      </c>
      <c r="B766" s="156" t="s">
        <v>276</v>
      </c>
      <c r="C766" s="444">
        <v>200</v>
      </c>
      <c r="D766" s="27">
        <f t="shared" si="269"/>
        <v>1322.2</v>
      </c>
      <c r="E766" s="27">
        <f t="shared" si="269"/>
        <v>1348.2</v>
      </c>
      <c r="F766" s="27">
        <f t="shared" si="269"/>
        <v>1348.2</v>
      </c>
      <c r="G766" s="152"/>
    </row>
    <row r="767" spans="1:7" x14ac:dyDescent="0.25">
      <c r="A767" s="273" t="s">
        <v>52</v>
      </c>
      <c r="B767" s="156" t="s">
        <v>276</v>
      </c>
      <c r="C767" s="444">
        <v>240</v>
      </c>
      <c r="D767" s="27">
        <f>'Функц. 2025-2027'!F110</f>
        <v>1322.2</v>
      </c>
      <c r="E767" s="27">
        <f>'Функц. 2025-2027'!H110</f>
        <v>1348.2</v>
      </c>
      <c r="F767" s="27">
        <f>'Функц. 2025-2027'!J110</f>
        <v>1348.2</v>
      </c>
      <c r="G767" s="152"/>
    </row>
    <row r="768" spans="1:7" ht="31.5" x14ac:dyDescent="0.25">
      <c r="A768" s="273" t="s">
        <v>547</v>
      </c>
      <c r="B768" s="156" t="s">
        <v>278</v>
      </c>
      <c r="C768" s="444"/>
      <c r="D768" s="27">
        <f t="shared" ref="D768:F769" si="270">D769</f>
        <v>2423.4</v>
      </c>
      <c r="E768" s="27">
        <f t="shared" si="270"/>
        <v>2423.4</v>
      </c>
      <c r="F768" s="27">
        <f t="shared" si="270"/>
        <v>2423.4</v>
      </c>
      <c r="G768" s="152"/>
    </row>
    <row r="769" spans="1:30" ht="47.25" x14ac:dyDescent="0.25">
      <c r="A769" s="273" t="s">
        <v>41</v>
      </c>
      <c r="B769" s="156" t="s">
        <v>278</v>
      </c>
      <c r="C769" s="444">
        <v>100</v>
      </c>
      <c r="D769" s="27">
        <f t="shared" si="270"/>
        <v>2423.4</v>
      </c>
      <c r="E769" s="27">
        <f t="shared" si="270"/>
        <v>2423.4</v>
      </c>
      <c r="F769" s="27">
        <f t="shared" si="270"/>
        <v>2423.4</v>
      </c>
      <c r="G769" s="152"/>
    </row>
    <row r="770" spans="1:30" x14ac:dyDescent="0.25">
      <c r="A770" s="273" t="s">
        <v>96</v>
      </c>
      <c r="B770" s="156" t="s">
        <v>278</v>
      </c>
      <c r="C770" s="444">
        <v>120</v>
      </c>
      <c r="D770" s="27">
        <f>'Функц. 2025-2027'!F113</f>
        <v>2423.4</v>
      </c>
      <c r="E770" s="27">
        <f>'Функц. 2025-2027'!H113</f>
        <v>2423.4</v>
      </c>
      <c r="F770" s="27">
        <f>'Функц. 2025-2027'!J113</f>
        <v>2423.4</v>
      </c>
      <c r="G770" s="152"/>
    </row>
    <row r="771" spans="1:30" ht="31.5" x14ac:dyDescent="0.25">
      <c r="A771" s="273" t="s">
        <v>280</v>
      </c>
      <c r="B771" s="156" t="s">
        <v>279</v>
      </c>
      <c r="C771" s="444"/>
      <c r="D771" s="27">
        <f t="shared" ref="D771:F772" si="271">D772</f>
        <v>4460</v>
      </c>
      <c r="E771" s="27">
        <f t="shared" si="271"/>
        <v>4460</v>
      </c>
      <c r="F771" s="27">
        <f t="shared" si="271"/>
        <v>4460</v>
      </c>
      <c r="G771" s="152"/>
    </row>
    <row r="772" spans="1:30" ht="47.25" x14ac:dyDescent="0.25">
      <c r="A772" s="273" t="s">
        <v>41</v>
      </c>
      <c r="B772" s="156" t="s">
        <v>279</v>
      </c>
      <c r="C772" s="444">
        <v>100</v>
      </c>
      <c r="D772" s="27">
        <f t="shared" si="271"/>
        <v>4460</v>
      </c>
      <c r="E772" s="27">
        <f t="shared" si="271"/>
        <v>4460</v>
      </c>
      <c r="F772" s="27">
        <f t="shared" si="271"/>
        <v>4460</v>
      </c>
      <c r="G772" s="152"/>
    </row>
    <row r="773" spans="1:30" x14ac:dyDescent="0.25">
      <c r="A773" s="273" t="s">
        <v>96</v>
      </c>
      <c r="B773" s="156" t="s">
        <v>279</v>
      </c>
      <c r="C773" s="444">
        <v>120</v>
      </c>
      <c r="D773" s="27">
        <f>'Функц. 2025-2027'!F116</f>
        <v>4460</v>
      </c>
      <c r="E773" s="27">
        <f>'Функц. 2025-2027'!H116</f>
        <v>4460</v>
      </c>
      <c r="F773" s="27">
        <f>'Функц. 2025-2027'!J116</f>
        <v>4460</v>
      </c>
      <c r="G773" s="152"/>
    </row>
    <row r="774" spans="1:30" s="177" customFormat="1" ht="31.5" x14ac:dyDescent="0.25">
      <c r="A774" s="523" t="s">
        <v>402</v>
      </c>
      <c r="B774" s="156" t="s">
        <v>403</v>
      </c>
      <c r="C774" s="444"/>
      <c r="D774" s="27">
        <f t="shared" ref="D774:F775" si="272">D775</f>
        <v>2944.8</v>
      </c>
      <c r="E774" s="27">
        <f t="shared" si="272"/>
        <v>2531.8000000000002</v>
      </c>
      <c r="F774" s="27">
        <f t="shared" si="272"/>
        <v>2531.8000000000002</v>
      </c>
      <c r="G774" s="152"/>
    </row>
    <row r="775" spans="1:30" s="177" customFormat="1" ht="47.25" x14ac:dyDescent="0.25">
      <c r="A775" s="375" t="s">
        <v>41</v>
      </c>
      <c r="B775" s="156" t="s">
        <v>403</v>
      </c>
      <c r="C775" s="444">
        <v>100</v>
      </c>
      <c r="D775" s="27">
        <f t="shared" si="272"/>
        <v>2944.8</v>
      </c>
      <c r="E775" s="27">
        <f t="shared" si="272"/>
        <v>2531.8000000000002</v>
      </c>
      <c r="F775" s="27">
        <f t="shared" si="272"/>
        <v>2531.8000000000002</v>
      </c>
      <c r="G775" s="152"/>
    </row>
    <row r="776" spans="1:30" s="177" customFormat="1" x14ac:dyDescent="0.25">
      <c r="A776" s="375" t="s">
        <v>96</v>
      </c>
      <c r="B776" s="156" t="s">
        <v>403</v>
      </c>
      <c r="C776" s="444">
        <v>120</v>
      </c>
      <c r="D776" s="27">
        <f>'Функц. 2025-2027'!F119</f>
        <v>2944.8</v>
      </c>
      <c r="E776" s="27">
        <f>'Функц. 2025-2027'!H119</f>
        <v>2531.8000000000002</v>
      </c>
      <c r="F776" s="27">
        <f>'Функц. 2025-2027'!J119</f>
        <v>2531.8000000000002</v>
      </c>
      <c r="G776" s="152"/>
    </row>
    <row r="777" spans="1:30" s="172" customFormat="1" x14ac:dyDescent="0.25">
      <c r="A777" s="397" t="s">
        <v>332</v>
      </c>
      <c r="B777" s="280" t="s">
        <v>137</v>
      </c>
      <c r="C777" s="600"/>
      <c r="D777" s="30">
        <f>D781+D790+D787+D778+D784</f>
        <v>32952.200000000004</v>
      </c>
      <c r="E777" s="518">
        <f t="shared" ref="E777:AD777" si="273">E781+E790+E787+E778+E784</f>
        <v>1505.8999999999996</v>
      </c>
      <c r="F777" s="518">
        <f t="shared" si="273"/>
        <v>2562.7000000000003</v>
      </c>
      <c r="G777" s="518">
        <f t="shared" si="273"/>
        <v>0</v>
      </c>
      <c r="H777" s="518">
        <f t="shared" si="273"/>
        <v>0</v>
      </c>
      <c r="I777" s="518">
        <f t="shared" si="273"/>
        <v>0</v>
      </c>
      <c r="J777" s="518">
        <f t="shared" si="273"/>
        <v>0</v>
      </c>
      <c r="K777" s="518">
        <f t="shared" si="273"/>
        <v>0</v>
      </c>
      <c r="L777" s="518">
        <f t="shared" si="273"/>
        <v>0</v>
      </c>
      <c r="M777" s="518">
        <f t="shared" si="273"/>
        <v>0</v>
      </c>
      <c r="N777" s="518">
        <f t="shared" si="273"/>
        <v>0</v>
      </c>
      <c r="O777" s="518">
        <f t="shared" si="273"/>
        <v>0</v>
      </c>
      <c r="P777" s="518">
        <f t="shared" si="273"/>
        <v>0</v>
      </c>
      <c r="Q777" s="518">
        <f t="shared" si="273"/>
        <v>0</v>
      </c>
      <c r="R777" s="518">
        <f t="shared" si="273"/>
        <v>0</v>
      </c>
      <c r="S777" s="518">
        <f t="shared" si="273"/>
        <v>0</v>
      </c>
      <c r="T777" s="518">
        <f t="shared" si="273"/>
        <v>0</v>
      </c>
      <c r="U777" s="518">
        <f t="shared" si="273"/>
        <v>0</v>
      </c>
      <c r="V777" s="518">
        <f t="shared" si="273"/>
        <v>0</v>
      </c>
      <c r="W777" s="518">
        <f t="shared" si="273"/>
        <v>0</v>
      </c>
      <c r="X777" s="518">
        <f t="shared" si="273"/>
        <v>0</v>
      </c>
      <c r="Y777" s="518">
        <f t="shared" si="273"/>
        <v>0</v>
      </c>
      <c r="Z777" s="518">
        <f t="shared" si="273"/>
        <v>0</v>
      </c>
      <c r="AA777" s="518">
        <f t="shared" si="273"/>
        <v>0</v>
      </c>
      <c r="AB777" s="518">
        <f t="shared" si="273"/>
        <v>0</v>
      </c>
      <c r="AC777" s="518">
        <f t="shared" si="273"/>
        <v>0</v>
      </c>
      <c r="AD777" s="518">
        <f t="shared" si="273"/>
        <v>0</v>
      </c>
    </row>
    <row r="778" spans="1:30" s="425" customFormat="1" x14ac:dyDescent="0.25">
      <c r="A778" s="523" t="s">
        <v>613</v>
      </c>
      <c r="B778" s="156" t="s">
        <v>614</v>
      </c>
      <c r="C778" s="600"/>
      <c r="D778" s="27">
        <f t="shared" ref="D778:F779" si="274">D779</f>
        <v>6400</v>
      </c>
      <c r="E778" s="27">
        <f t="shared" si="274"/>
        <v>0</v>
      </c>
      <c r="F778" s="27">
        <f t="shared" si="274"/>
        <v>0</v>
      </c>
      <c r="G778" s="152"/>
    </row>
    <row r="779" spans="1:30" s="425" customFormat="1" x14ac:dyDescent="0.25">
      <c r="A779" s="523" t="s">
        <v>42</v>
      </c>
      <c r="B779" s="156" t="s">
        <v>614</v>
      </c>
      <c r="C779" s="444">
        <v>800</v>
      </c>
      <c r="D779" s="27">
        <f t="shared" si="274"/>
        <v>6400</v>
      </c>
      <c r="E779" s="27">
        <f t="shared" si="274"/>
        <v>0</v>
      </c>
      <c r="F779" s="27">
        <f t="shared" si="274"/>
        <v>0</v>
      </c>
      <c r="G779" s="152"/>
    </row>
    <row r="780" spans="1:30" s="425" customFormat="1" x14ac:dyDescent="0.25">
      <c r="A780" s="523" t="s">
        <v>620</v>
      </c>
      <c r="B780" s="156" t="s">
        <v>614</v>
      </c>
      <c r="C780" s="444">
        <v>880</v>
      </c>
      <c r="D780" s="27">
        <f>'Функц. 2025-2027'!F124</f>
        <v>6400</v>
      </c>
      <c r="E780" s="27">
        <f>'Функц. 2025-2027'!H124</f>
        <v>0</v>
      </c>
      <c r="F780" s="27">
        <f>'Функц. 2025-2027'!J124</f>
        <v>0</v>
      </c>
      <c r="G780" s="152"/>
    </row>
    <row r="781" spans="1:30" ht="31.5" x14ac:dyDescent="0.25">
      <c r="A781" s="276" t="s">
        <v>325</v>
      </c>
      <c r="B781" s="156" t="s">
        <v>326</v>
      </c>
      <c r="C781" s="444"/>
      <c r="D781" s="27">
        <f t="shared" ref="D781:F782" si="275">D782</f>
        <v>1000</v>
      </c>
      <c r="E781" s="27">
        <f t="shared" si="275"/>
        <v>0</v>
      </c>
      <c r="F781" s="27">
        <f t="shared" si="275"/>
        <v>0</v>
      </c>
      <c r="G781" s="152"/>
    </row>
    <row r="782" spans="1:30" x14ac:dyDescent="0.25">
      <c r="A782" s="273" t="s">
        <v>42</v>
      </c>
      <c r="B782" s="156" t="s">
        <v>326</v>
      </c>
      <c r="C782" s="444">
        <v>800</v>
      </c>
      <c r="D782" s="27">
        <f t="shared" si="275"/>
        <v>1000</v>
      </c>
      <c r="E782" s="27">
        <f t="shared" si="275"/>
        <v>0</v>
      </c>
      <c r="F782" s="27">
        <f t="shared" si="275"/>
        <v>0</v>
      </c>
      <c r="G782" s="152"/>
    </row>
    <row r="783" spans="1:30" x14ac:dyDescent="0.25">
      <c r="A783" s="273" t="s">
        <v>136</v>
      </c>
      <c r="B783" s="156" t="s">
        <v>326</v>
      </c>
      <c r="C783" s="444">
        <v>870</v>
      </c>
      <c r="D783" s="27">
        <f>'Функц. 2025-2027'!F129</f>
        <v>1000</v>
      </c>
      <c r="E783" s="27">
        <f>'Функц. 2025-2027'!H129</f>
        <v>0</v>
      </c>
      <c r="F783" s="27">
        <f>'Функц. 2025-2027'!J129</f>
        <v>0</v>
      </c>
      <c r="G783" s="152"/>
    </row>
    <row r="784" spans="1:30" s="519" customFormat="1" x14ac:dyDescent="0.25">
      <c r="A784" s="451" t="s">
        <v>793</v>
      </c>
      <c r="B784" s="542" t="s">
        <v>794</v>
      </c>
      <c r="C784" s="454"/>
      <c r="D784" s="517">
        <f>D785</f>
        <v>159.80000000000001</v>
      </c>
      <c r="E784" s="517">
        <f t="shared" ref="E784:F784" si="276">E785</f>
        <v>0</v>
      </c>
      <c r="F784" s="517">
        <f t="shared" si="276"/>
        <v>0</v>
      </c>
      <c r="G784" s="520"/>
    </row>
    <row r="785" spans="1:30" s="519" customFormat="1" x14ac:dyDescent="0.25">
      <c r="A785" s="451" t="s">
        <v>42</v>
      </c>
      <c r="B785" s="542" t="s">
        <v>794</v>
      </c>
      <c r="C785" s="454">
        <v>800</v>
      </c>
      <c r="D785" s="517">
        <f>D786</f>
        <v>159.80000000000001</v>
      </c>
      <c r="E785" s="517">
        <f t="shared" ref="E785:F785" si="277">E786</f>
        <v>0</v>
      </c>
      <c r="F785" s="517">
        <f t="shared" si="277"/>
        <v>0</v>
      </c>
      <c r="G785" s="520"/>
    </row>
    <row r="786" spans="1:30" s="519" customFormat="1" x14ac:dyDescent="0.25">
      <c r="A786" s="451" t="s">
        <v>795</v>
      </c>
      <c r="B786" s="542" t="s">
        <v>794</v>
      </c>
      <c r="C786" s="454">
        <v>830</v>
      </c>
      <c r="D786" s="517">
        <f>'Функц. 2025-2027'!F215</f>
        <v>159.80000000000001</v>
      </c>
      <c r="E786" s="517">
        <f>'Функц. 2025-2027'!H215</f>
        <v>0</v>
      </c>
      <c r="F786" s="517">
        <f>'Функц. 2025-2027'!J215</f>
        <v>0</v>
      </c>
      <c r="G786" s="520"/>
    </row>
    <row r="787" spans="1:30" s="177" customFormat="1" x14ac:dyDescent="0.25">
      <c r="A787" s="258" t="s">
        <v>612</v>
      </c>
      <c r="B787" s="156" t="s">
        <v>611</v>
      </c>
      <c r="C787" s="601"/>
      <c r="D787" s="27">
        <f t="shared" ref="D787:F788" si="278">D788</f>
        <v>331</v>
      </c>
      <c r="E787" s="27">
        <f t="shared" si="278"/>
        <v>0</v>
      </c>
      <c r="F787" s="27">
        <f t="shared" si="278"/>
        <v>0</v>
      </c>
      <c r="G787" s="152"/>
    </row>
    <row r="788" spans="1:30" s="177" customFormat="1" x14ac:dyDescent="0.25">
      <c r="A788" s="273" t="s">
        <v>97</v>
      </c>
      <c r="B788" s="156" t="s">
        <v>611</v>
      </c>
      <c r="C788" s="444">
        <v>300</v>
      </c>
      <c r="D788" s="167">
        <f t="shared" si="278"/>
        <v>331</v>
      </c>
      <c r="E788" s="167">
        <f t="shared" si="278"/>
        <v>0</v>
      </c>
      <c r="F788" s="167">
        <f t="shared" si="278"/>
        <v>0</v>
      </c>
      <c r="G788" s="152"/>
    </row>
    <row r="789" spans="1:30" s="177" customFormat="1" x14ac:dyDescent="0.25">
      <c r="A789" s="375" t="s">
        <v>131</v>
      </c>
      <c r="B789" s="156" t="s">
        <v>611</v>
      </c>
      <c r="C789" s="444">
        <v>310</v>
      </c>
      <c r="D789" s="27">
        <f>'Функц. 2025-2027'!F915</f>
        <v>331</v>
      </c>
      <c r="E789" s="27">
        <f>'Функц. 2025-2027'!H915</f>
        <v>0</v>
      </c>
      <c r="F789" s="27">
        <f>'Функц. 2025-2027'!J915</f>
        <v>0</v>
      </c>
      <c r="G789" s="152"/>
    </row>
    <row r="790" spans="1:30" s="177" customFormat="1" x14ac:dyDescent="0.25">
      <c r="A790" s="523" t="s">
        <v>426</v>
      </c>
      <c r="B790" s="282" t="s">
        <v>427</v>
      </c>
      <c r="C790" s="606"/>
      <c r="D790" s="27">
        <f>D797+D791+D794</f>
        <v>25061.4</v>
      </c>
      <c r="E790" s="517">
        <f t="shared" ref="E790:F790" si="279">E797+E791+E794</f>
        <v>1505.8999999999996</v>
      </c>
      <c r="F790" s="517">
        <f t="shared" si="279"/>
        <v>2562.7000000000003</v>
      </c>
      <c r="G790" s="152"/>
    </row>
    <row r="791" spans="1:30" s="519" customFormat="1" x14ac:dyDescent="0.25">
      <c r="A791" s="451" t="s">
        <v>796</v>
      </c>
      <c r="B791" s="697" t="s">
        <v>797</v>
      </c>
      <c r="C791" s="698"/>
      <c r="D791" s="517">
        <f>D792</f>
        <v>150</v>
      </c>
      <c r="E791" s="517">
        <f t="shared" ref="E791:F792" si="280">E792</f>
        <v>0</v>
      </c>
      <c r="F791" s="517">
        <f t="shared" si="280"/>
        <v>0</v>
      </c>
      <c r="G791" s="520"/>
    </row>
    <row r="792" spans="1:30" s="519" customFormat="1" x14ac:dyDescent="0.25">
      <c r="A792" s="451" t="s">
        <v>42</v>
      </c>
      <c r="B792" s="697" t="s">
        <v>797</v>
      </c>
      <c r="C792" s="698">
        <v>800</v>
      </c>
      <c r="D792" s="517">
        <f>D793</f>
        <v>150</v>
      </c>
      <c r="E792" s="517">
        <f t="shared" si="280"/>
        <v>0</v>
      </c>
      <c r="F792" s="517">
        <f t="shared" si="280"/>
        <v>0</v>
      </c>
      <c r="G792" s="517">
        <f t="shared" ref="G792:AD792" si="281">G793</f>
        <v>0</v>
      </c>
      <c r="H792" s="517">
        <f t="shared" si="281"/>
        <v>0</v>
      </c>
      <c r="I792" s="517">
        <f t="shared" si="281"/>
        <v>0</v>
      </c>
      <c r="J792" s="517">
        <f t="shared" si="281"/>
        <v>0</v>
      </c>
      <c r="K792" s="517">
        <f t="shared" si="281"/>
        <v>0</v>
      </c>
      <c r="L792" s="517">
        <f t="shared" si="281"/>
        <v>0</v>
      </c>
      <c r="M792" s="517">
        <f t="shared" si="281"/>
        <v>0</v>
      </c>
      <c r="N792" s="517">
        <f t="shared" si="281"/>
        <v>0</v>
      </c>
      <c r="O792" s="517">
        <f t="shared" si="281"/>
        <v>0</v>
      </c>
      <c r="P792" s="517">
        <f t="shared" si="281"/>
        <v>0</v>
      </c>
      <c r="Q792" s="517">
        <f t="shared" si="281"/>
        <v>0</v>
      </c>
      <c r="R792" s="517">
        <f t="shared" si="281"/>
        <v>0</v>
      </c>
      <c r="S792" s="517">
        <f t="shared" si="281"/>
        <v>0</v>
      </c>
      <c r="T792" s="517">
        <f t="shared" si="281"/>
        <v>0</v>
      </c>
      <c r="U792" s="517">
        <f t="shared" si="281"/>
        <v>0</v>
      </c>
      <c r="V792" s="517">
        <f t="shared" si="281"/>
        <v>0</v>
      </c>
      <c r="W792" s="517">
        <f t="shared" si="281"/>
        <v>0</v>
      </c>
      <c r="X792" s="517">
        <f t="shared" si="281"/>
        <v>0</v>
      </c>
      <c r="Y792" s="517">
        <f t="shared" si="281"/>
        <v>0</v>
      </c>
      <c r="Z792" s="517">
        <f t="shared" si="281"/>
        <v>0</v>
      </c>
      <c r="AA792" s="517">
        <f t="shared" si="281"/>
        <v>0</v>
      </c>
      <c r="AB792" s="517">
        <f t="shared" si="281"/>
        <v>0</v>
      </c>
      <c r="AC792" s="517">
        <f t="shared" si="281"/>
        <v>0</v>
      </c>
      <c r="AD792" s="517">
        <f t="shared" si="281"/>
        <v>0</v>
      </c>
    </row>
    <row r="793" spans="1:30" s="519" customFormat="1" x14ac:dyDescent="0.25">
      <c r="A793" s="451" t="s">
        <v>57</v>
      </c>
      <c r="B793" s="697" t="s">
        <v>797</v>
      </c>
      <c r="C793" s="698">
        <v>850</v>
      </c>
      <c r="D793" s="517">
        <f>'Функц. 2025-2027'!F219</f>
        <v>150</v>
      </c>
      <c r="E793" s="517">
        <f>'Функц. 2025-2027'!H219</f>
        <v>0</v>
      </c>
      <c r="F793" s="517">
        <f>'Функц. 2025-2027'!J219</f>
        <v>0</v>
      </c>
      <c r="G793" s="520"/>
    </row>
    <row r="794" spans="1:30" s="519" customFormat="1" x14ac:dyDescent="0.25">
      <c r="A794" s="451" t="s">
        <v>817</v>
      </c>
      <c r="B794" s="697" t="s">
        <v>816</v>
      </c>
      <c r="C794" s="454"/>
      <c r="D794" s="517">
        <f>D795</f>
        <v>2000</v>
      </c>
      <c r="E794" s="517">
        <f t="shared" ref="E794:F795" si="282">E795</f>
        <v>0</v>
      </c>
      <c r="F794" s="517">
        <f t="shared" si="282"/>
        <v>0</v>
      </c>
      <c r="G794" s="520"/>
    </row>
    <row r="795" spans="1:30" s="519" customFormat="1" x14ac:dyDescent="0.25">
      <c r="A795" s="451" t="s">
        <v>97</v>
      </c>
      <c r="B795" s="697" t="s">
        <v>816</v>
      </c>
      <c r="C795" s="454">
        <v>300</v>
      </c>
      <c r="D795" s="517">
        <f>D796</f>
        <v>2000</v>
      </c>
      <c r="E795" s="517">
        <f t="shared" si="282"/>
        <v>0</v>
      </c>
      <c r="F795" s="517">
        <f t="shared" si="282"/>
        <v>0</v>
      </c>
      <c r="G795" s="520"/>
    </row>
    <row r="796" spans="1:30" s="519" customFormat="1" x14ac:dyDescent="0.25">
      <c r="A796" s="451" t="s">
        <v>40</v>
      </c>
      <c r="B796" s="697" t="s">
        <v>816</v>
      </c>
      <c r="C796" s="454">
        <v>320</v>
      </c>
      <c r="D796" s="517">
        <f>'Функц. 2025-2027'!F309</f>
        <v>2000</v>
      </c>
      <c r="E796" s="517">
        <f>'Функц. 2025-2027'!H309</f>
        <v>0</v>
      </c>
      <c r="F796" s="517">
        <f>'Функц. 2025-2027'!J309</f>
        <v>0</v>
      </c>
      <c r="G796" s="520"/>
    </row>
    <row r="797" spans="1:30" s="199" customFormat="1" ht="31.5" x14ac:dyDescent="0.25">
      <c r="A797" s="523" t="s">
        <v>429</v>
      </c>
      <c r="B797" s="282" t="s">
        <v>430</v>
      </c>
      <c r="C797" s="606"/>
      <c r="D797" s="27">
        <f t="shared" ref="D797:F798" si="283">D798</f>
        <v>22911.4</v>
      </c>
      <c r="E797" s="27">
        <f t="shared" si="283"/>
        <v>1505.8999999999996</v>
      </c>
      <c r="F797" s="27">
        <f t="shared" si="283"/>
        <v>2562.7000000000003</v>
      </c>
      <c r="G797" s="152"/>
      <c r="H797" s="438"/>
      <c r="I797" s="438"/>
      <c r="J797" s="438"/>
      <c r="K797" s="438"/>
      <c r="L797" s="438"/>
      <c r="M797" s="438"/>
      <c r="N797" s="438"/>
      <c r="O797" s="438"/>
      <c r="P797" s="438"/>
      <c r="Q797" s="438"/>
      <c r="R797" s="438"/>
      <c r="S797" s="438"/>
      <c r="T797" s="438"/>
      <c r="U797" s="438"/>
      <c r="V797" s="438"/>
      <c r="W797" s="438"/>
      <c r="X797" s="438"/>
      <c r="Y797" s="438"/>
      <c r="Z797" s="438"/>
      <c r="AA797" s="438"/>
      <c r="AB797" s="438"/>
      <c r="AC797" s="438"/>
      <c r="AD797" s="438"/>
    </row>
    <row r="798" spans="1:30" s="199" customFormat="1" x14ac:dyDescent="0.25">
      <c r="A798" s="523" t="s">
        <v>42</v>
      </c>
      <c r="B798" s="282" t="s">
        <v>430</v>
      </c>
      <c r="C798" s="606">
        <v>800</v>
      </c>
      <c r="D798" s="420">
        <f t="shared" si="283"/>
        <v>22911.4</v>
      </c>
      <c r="E798" s="421">
        <f t="shared" si="283"/>
        <v>1505.8999999999996</v>
      </c>
      <c r="F798" s="421">
        <f t="shared" si="283"/>
        <v>2562.7000000000003</v>
      </c>
      <c r="G798" s="152"/>
      <c r="H798" s="438"/>
      <c r="I798" s="438"/>
      <c r="J798" s="438"/>
      <c r="K798" s="438"/>
      <c r="L798" s="438"/>
      <c r="M798" s="438"/>
      <c r="N798" s="438"/>
      <c r="O798" s="438"/>
      <c r="P798" s="438"/>
      <c r="Q798" s="438"/>
      <c r="R798" s="438"/>
      <c r="S798" s="438"/>
      <c r="T798" s="438"/>
      <c r="U798" s="438"/>
      <c r="V798" s="438"/>
      <c r="W798" s="438"/>
      <c r="X798" s="438"/>
      <c r="Y798" s="438"/>
      <c r="Z798" s="438"/>
      <c r="AA798" s="438"/>
      <c r="AB798" s="438"/>
      <c r="AC798" s="438"/>
      <c r="AD798" s="438"/>
    </row>
    <row r="799" spans="1:30" s="199" customFormat="1" ht="16.5" thickBot="1" x14ac:dyDescent="0.3">
      <c r="A799" s="523" t="s">
        <v>136</v>
      </c>
      <c r="B799" s="282" t="s">
        <v>430</v>
      </c>
      <c r="C799" s="606">
        <v>870</v>
      </c>
      <c r="D799" s="270">
        <f>'Функц. 2025-2027'!F222</f>
        <v>22911.4</v>
      </c>
      <c r="E799" s="270">
        <f>'Функц. 2025-2027'!H222</f>
        <v>1505.8999999999996</v>
      </c>
      <c r="F799" s="270">
        <f>'Функц. 2025-2027'!J222</f>
        <v>2562.7000000000003</v>
      </c>
      <c r="G799" s="152"/>
      <c r="H799" s="438"/>
      <c r="I799" s="438"/>
      <c r="J799" s="438"/>
      <c r="K799" s="438"/>
      <c r="L799" s="438"/>
      <c r="M799" s="438"/>
      <c r="N799" s="438"/>
      <c r="O799" s="438"/>
      <c r="P799" s="438"/>
      <c r="Q799" s="438"/>
      <c r="R799" s="438"/>
      <c r="S799" s="438"/>
      <c r="T799" s="438"/>
      <c r="U799" s="438"/>
      <c r="V799" s="438"/>
      <c r="W799" s="438"/>
      <c r="X799" s="438"/>
      <c r="Y799" s="438"/>
      <c r="Z799" s="438"/>
      <c r="AA799" s="438"/>
      <c r="AB799" s="438"/>
      <c r="AC799" s="438"/>
      <c r="AD799" s="438"/>
    </row>
    <row r="800" spans="1:30" ht="16.5" thickBot="1" x14ac:dyDescent="0.3">
      <c r="A800" s="403" t="s">
        <v>50</v>
      </c>
      <c r="B800" s="622"/>
      <c r="C800" s="610"/>
      <c r="D800" s="510">
        <f>D746+D747+D777</f>
        <v>5439029.4000000004</v>
      </c>
      <c r="E800" s="527">
        <f>E746+E747+E777</f>
        <v>3355666.2999999993</v>
      </c>
      <c r="F800" s="528">
        <f>F746+F747+F777</f>
        <v>3189048.1999999997</v>
      </c>
      <c r="G800" s="152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</row>
    <row r="2212" spans="1:6" x14ac:dyDescent="0.25">
      <c r="A2212" s="21"/>
      <c r="B2212" s="168"/>
      <c r="C2212" s="28"/>
      <c r="D2212" s="29"/>
      <c r="E2212" s="29"/>
    </row>
    <row r="2213" spans="1:6" x14ac:dyDescent="0.25">
      <c r="A2213" s="21"/>
      <c r="B2213" s="168"/>
      <c r="C2213" s="28"/>
      <c r="D2213" s="29"/>
      <c r="E2213" s="29"/>
      <c r="F2213" s="135"/>
    </row>
    <row r="2214" spans="1:6" x14ac:dyDescent="0.25">
      <c r="A2214" s="21"/>
      <c r="B2214" s="168"/>
      <c r="C2214" s="28"/>
      <c r="D2214" s="29"/>
      <c r="E2214" s="29"/>
      <c r="F2214" s="135"/>
    </row>
    <row r="2215" spans="1:6" x14ac:dyDescent="0.25">
      <c r="A2215" s="21"/>
      <c r="B2215" s="168"/>
      <c r="C2215" s="28"/>
      <c r="D2215" s="29"/>
      <c r="E2215" s="29"/>
      <c r="F2215" s="135"/>
    </row>
    <row r="2216" spans="1:6" x14ac:dyDescent="0.25">
      <c r="A2216" s="21"/>
      <c r="B2216" s="168"/>
      <c r="C2216" s="28"/>
      <c r="D2216" s="29"/>
      <c r="E2216" s="29"/>
      <c r="F2216" s="135"/>
    </row>
    <row r="2217" spans="1:6" x14ac:dyDescent="0.25">
      <c r="A2217" s="21"/>
      <c r="B2217" s="168"/>
      <c r="C2217" s="28"/>
      <c r="D2217" s="29"/>
      <c r="E2217" s="29"/>
      <c r="F2217" s="135"/>
    </row>
    <row r="2218" spans="1:6" x14ac:dyDescent="0.25">
      <c r="A2218" s="21"/>
      <c r="B2218" s="168"/>
      <c r="C2218" s="28"/>
      <c r="D2218" s="29"/>
      <c r="E2218" s="29"/>
      <c r="F2218" s="135"/>
    </row>
    <row r="2219" spans="1:6" x14ac:dyDescent="0.25">
      <c r="A2219" s="21"/>
      <c r="B2219" s="168"/>
      <c r="C2219" s="28"/>
      <c r="D2219" s="29"/>
      <c r="E2219" s="29"/>
      <c r="F2219" s="135"/>
    </row>
    <row r="2220" spans="1:6" x14ac:dyDescent="0.25">
      <c r="A2220" s="21"/>
      <c r="B2220" s="168"/>
      <c r="C2220" s="28"/>
      <c r="D2220" s="29"/>
      <c r="E2220" s="29"/>
      <c r="F2220" s="135"/>
    </row>
    <row r="2221" spans="1:6" x14ac:dyDescent="0.25">
      <c r="A2221" s="21"/>
      <c r="B2221" s="168"/>
      <c r="C2221" s="28"/>
      <c r="D2221" s="29"/>
      <c r="E2221" s="29"/>
      <c r="F2221" s="135"/>
    </row>
    <row r="2222" spans="1:6" x14ac:dyDescent="0.25">
      <c r="A2222" s="21"/>
      <c r="B2222" s="168"/>
      <c r="C2222" s="28"/>
      <c r="D2222" s="29"/>
      <c r="E2222" s="29"/>
      <c r="F2222" s="135"/>
    </row>
    <row r="2223" spans="1:6" x14ac:dyDescent="0.25">
      <c r="A2223" s="21"/>
      <c r="B2223" s="168"/>
      <c r="C2223" s="28"/>
      <c r="D2223" s="29"/>
      <c r="E2223" s="29"/>
      <c r="F2223" s="135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  <row r="2229" spans="1:6" x14ac:dyDescent="0.25">
      <c r="A2229" s="21"/>
      <c r="B2229" s="168"/>
      <c r="C2229" s="28"/>
      <c r="D2229" s="29"/>
      <c r="E2229" s="29"/>
      <c r="F2229" s="135"/>
    </row>
    <row r="2230" spans="1:6" x14ac:dyDescent="0.25">
      <c r="A2230" s="21"/>
      <c r="B2230" s="168"/>
      <c r="C2230" s="28"/>
      <c r="D2230" s="29"/>
      <c r="E2230" s="29"/>
      <c r="F2230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view="pageBreakPreview" topLeftCell="A2" zoomScale="90" zoomScaleNormal="75" zoomScaleSheetLayoutView="90" workbookViewId="0">
      <selection activeCell="A3" sqref="A3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2" customFormat="1" hidden="1" x14ac:dyDescent="0.2">
      <c r="E1" s="157"/>
    </row>
    <row r="2" spans="1:8" s="250" customFormat="1" ht="22.5" customHeight="1" x14ac:dyDescent="0.25">
      <c r="A2" s="678"/>
      <c r="B2" s="676"/>
      <c r="C2" s="676"/>
      <c r="D2" s="726" t="s">
        <v>595</v>
      </c>
      <c r="E2" s="723"/>
      <c r="F2" s="723"/>
    </row>
    <row r="3" spans="1:8" s="151" customFormat="1" ht="96" customHeight="1" x14ac:dyDescent="0.2">
      <c r="A3" s="678"/>
      <c r="B3" s="579"/>
      <c r="C3" s="579"/>
      <c r="D3" s="727" t="s">
        <v>905</v>
      </c>
      <c r="E3" s="728"/>
      <c r="F3" s="728"/>
    </row>
    <row r="4" spans="1:8" s="151" customFormat="1" ht="18.75" customHeight="1" x14ac:dyDescent="0.25">
      <c r="A4" s="678"/>
      <c r="B4" s="745"/>
      <c r="C4" s="746"/>
      <c r="D4" s="746"/>
      <c r="E4" s="746"/>
      <c r="F4" s="747"/>
    </row>
    <row r="5" spans="1:8" s="22" customFormat="1" ht="12.75" x14ac:dyDescent="0.2">
      <c r="A5" s="678"/>
      <c r="B5" s="678"/>
      <c r="C5" s="678"/>
      <c r="D5" s="734"/>
      <c r="E5" s="734"/>
      <c r="F5" s="678"/>
    </row>
    <row r="6" spans="1:8" s="250" customFormat="1" ht="12.75" x14ac:dyDescent="0.2">
      <c r="A6" s="678"/>
      <c r="B6" s="678"/>
      <c r="C6" s="678"/>
      <c r="D6" s="680"/>
      <c r="E6" s="680"/>
      <c r="F6" s="678"/>
    </row>
    <row r="7" spans="1:8" ht="78.75" customHeight="1" x14ac:dyDescent="0.2">
      <c r="A7" s="736" t="s">
        <v>785</v>
      </c>
      <c r="B7" s="736"/>
      <c r="C7" s="736"/>
      <c r="D7" s="723"/>
      <c r="E7" s="723"/>
      <c r="F7" s="723"/>
      <c r="G7" s="153"/>
      <c r="H7" s="153"/>
    </row>
    <row r="8" spans="1:8" ht="4.1500000000000004" hidden="1" customHeight="1" thickBot="1" x14ac:dyDescent="0.25">
      <c r="A8" s="6"/>
      <c r="B8" s="7"/>
      <c r="C8" s="7"/>
      <c r="E8" s="735"/>
      <c r="F8" s="735"/>
      <c r="G8" s="735"/>
      <c r="H8" s="735"/>
    </row>
    <row r="9" spans="1:8" s="23" customFormat="1" ht="27" customHeight="1" thickBot="1" x14ac:dyDescent="0.25">
      <c r="A9" s="6"/>
      <c r="B9" s="7"/>
      <c r="C9" s="7"/>
      <c r="F9" s="9" t="s">
        <v>149</v>
      </c>
      <c r="G9" s="150"/>
      <c r="H9" s="150"/>
    </row>
    <row r="10" spans="1:8" ht="35.1" customHeight="1" x14ac:dyDescent="0.2">
      <c r="A10" s="737" t="s">
        <v>72</v>
      </c>
      <c r="B10" s="739" t="s">
        <v>0</v>
      </c>
      <c r="C10" s="741" t="s">
        <v>20</v>
      </c>
      <c r="D10" s="743" t="s">
        <v>434</v>
      </c>
      <c r="E10" s="732" t="s">
        <v>615</v>
      </c>
      <c r="F10" s="732" t="s">
        <v>644</v>
      </c>
    </row>
    <row r="11" spans="1:8" ht="13.9" customHeight="1" thickBot="1" x14ac:dyDescent="0.25">
      <c r="A11" s="738"/>
      <c r="B11" s="740"/>
      <c r="C11" s="742"/>
      <c r="D11" s="744"/>
      <c r="E11" s="733"/>
      <c r="F11" s="733"/>
    </row>
    <row r="12" spans="1:8" ht="25.5" customHeight="1" thickBot="1" x14ac:dyDescent="0.25">
      <c r="A12" s="235">
        <v>1</v>
      </c>
      <c r="B12" s="236">
        <v>2</v>
      </c>
      <c r="C12" s="237">
        <v>3</v>
      </c>
      <c r="D12" s="234">
        <v>4</v>
      </c>
      <c r="E12" s="238">
        <v>5</v>
      </c>
      <c r="F12" s="234">
        <v>6</v>
      </c>
    </row>
    <row r="13" spans="1:8" ht="33" customHeight="1" x14ac:dyDescent="0.2">
      <c r="A13" s="355" t="s">
        <v>25</v>
      </c>
      <c r="B13" s="373" t="s">
        <v>29</v>
      </c>
      <c r="C13" s="374"/>
      <c r="D13" s="366">
        <f>D14+D15+D16+D17+D19+D20+D18</f>
        <v>498003.20000000001</v>
      </c>
      <c r="E13" s="366">
        <f>E14+E15+E16+E17+E19+E20+E18</f>
        <v>340551.4</v>
      </c>
      <c r="F13" s="366">
        <f>F14+F15+F16+F17+F19+F20+F18</f>
        <v>324465</v>
      </c>
    </row>
    <row r="14" spans="1:8" ht="45" customHeight="1" x14ac:dyDescent="0.2">
      <c r="A14" s="356" t="s">
        <v>53</v>
      </c>
      <c r="B14" s="216" t="s">
        <v>29</v>
      </c>
      <c r="C14" s="217" t="s">
        <v>30</v>
      </c>
      <c r="D14" s="367">
        <f>'Функц. 2025-2027'!F16</f>
        <v>9374.2999999999993</v>
      </c>
      <c r="E14" s="229">
        <f>'Функц. 2025-2027'!H16</f>
        <v>3451.3</v>
      </c>
      <c r="F14" s="229">
        <f>'Функц. 2025-2027'!J16</f>
        <v>3451.3</v>
      </c>
    </row>
    <row r="15" spans="1:8" ht="63.75" customHeight="1" x14ac:dyDescent="0.2">
      <c r="A15" s="356" t="s">
        <v>54</v>
      </c>
      <c r="B15" s="216" t="s">
        <v>29</v>
      </c>
      <c r="C15" s="217" t="s">
        <v>7</v>
      </c>
      <c r="D15" s="367">
        <f>'Функц. 2025-2027'!F23</f>
        <v>19670.3</v>
      </c>
      <c r="E15" s="229">
        <f>'Функц. 2025-2027'!H23</f>
        <v>16740.900000000001</v>
      </c>
      <c r="F15" s="229">
        <f>'Функц. 2025-2027'!J23</f>
        <v>16740.900000000001</v>
      </c>
    </row>
    <row r="16" spans="1:8" ht="62.25" customHeight="1" x14ac:dyDescent="0.2">
      <c r="A16" s="356" t="s">
        <v>704</v>
      </c>
      <c r="B16" s="216" t="s">
        <v>29</v>
      </c>
      <c r="C16" s="217" t="s">
        <v>49</v>
      </c>
      <c r="D16" s="367">
        <f>'Функц. 2025-2027'!F47</f>
        <v>127729.9</v>
      </c>
      <c r="E16" s="244">
        <f>'Функц. 2025-2027'!H47</f>
        <v>100872</v>
      </c>
      <c r="F16" s="244">
        <f>'Функц. 2025-2027'!J47</f>
        <v>100785</v>
      </c>
    </row>
    <row r="17" spans="1:6" ht="46.5" customHeight="1" x14ac:dyDescent="0.2">
      <c r="A17" s="356" t="s">
        <v>73</v>
      </c>
      <c r="B17" s="216" t="s">
        <v>29</v>
      </c>
      <c r="C17" s="217" t="s">
        <v>95</v>
      </c>
      <c r="D17" s="367">
        <f>'Функц. 2025-2027'!F88</f>
        <v>43265.5</v>
      </c>
      <c r="E17" s="244">
        <f>'Функц. 2025-2027'!H88</f>
        <v>42805.3</v>
      </c>
      <c r="F17" s="244">
        <f>'Функц. 2025-2027'!J88</f>
        <v>43070</v>
      </c>
    </row>
    <row r="18" spans="1:6" s="414" customFormat="1" ht="46.5" customHeight="1" x14ac:dyDescent="0.2">
      <c r="A18" s="412" t="s">
        <v>591</v>
      </c>
      <c r="B18" s="411" t="s">
        <v>29</v>
      </c>
      <c r="C18" s="222" t="s">
        <v>8</v>
      </c>
      <c r="D18" s="367">
        <f>'Функц. 2025-2027'!F120</f>
        <v>6400</v>
      </c>
      <c r="E18" s="244">
        <f>'Функц. 2025-2027'!H120</f>
        <v>0</v>
      </c>
      <c r="F18" s="244">
        <f>'Функц. 2025-2027'!J120</f>
        <v>0</v>
      </c>
    </row>
    <row r="19" spans="1:6" ht="25.5" customHeight="1" x14ac:dyDescent="0.2">
      <c r="A19" s="356" t="s">
        <v>74</v>
      </c>
      <c r="B19" s="216" t="s">
        <v>29</v>
      </c>
      <c r="C19" s="217">
        <v>11</v>
      </c>
      <c r="D19" s="367">
        <f>'Функц. 2025-2027'!F125</f>
        <v>1000</v>
      </c>
      <c r="E19" s="244">
        <f>'Функц. 2025-2027'!H125</f>
        <v>0</v>
      </c>
      <c r="F19" s="244">
        <f>'Функц. 2025-2027'!J125</f>
        <v>0</v>
      </c>
    </row>
    <row r="20" spans="1:6" ht="28.5" customHeight="1" x14ac:dyDescent="0.2">
      <c r="A20" s="356" t="s">
        <v>152</v>
      </c>
      <c r="B20" s="216" t="s">
        <v>29</v>
      </c>
      <c r="C20" s="217">
        <v>13</v>
      </c>
      <c r="D20" s="367">
        <f>'Функц. 2025-2027'!F130</f>
        <v>290563.20000000001</v>
      </c>
      <c r="E20" s="244">
        <f>'Функц. 2025-2027'!H130</f>
        <v>176681.9</v>
      </c>
      <c r="F20" s="244">
        <f>'Функц. 2025-2027'!J130</f>
        <v>160417.79999999999</v>
      </c>
    </row>
    <row r="21" spans="1:6" ht="25.5" customHeight="1" x14ac:dyDescent="0.2">
      <c r="A21" s="357" t="s">
        <v>11</v>
      </c>
      <c r="B21" s="218" t="s">
        <v>30</v>
      </c>
      <c r="C21" s="215"/>
      <c r="D21" s="368">
        <f>D22+D23</f>
        <v>5306.4</v>
      </c>
      <c r="E21" s="228">
        <f>E22+E23</f>
        <v>5095.3</v>
      </c>
      <c r="F21" s="228">
        <f>F22+F23</f>
        <v>5267.1</v>
      </c>
    </row>
    <row r="22" spans="1:6" ht="23.25" customHeight="1" x14ac:dyDescent="0.2">
      <c r="A22" s="358" t="s">
        <v>75</v>
      </c>
      <c r="B22" s="216" t="s">
        <v>30</v>
      </c>
      <c r="C22" s="217" t="s">
        <v>7</v>
      </c>
      <c r="D22" s="367">
        <f>'Функц. 2025-2027'!F224</f>
        <v>4656.3999999999996</v>
      </c>
      <c r="E22" s="244">
        <f>'Функц. 2025-2027'!H224</f>
        <v>5021.3</v>
      </c>
      <c r="F22" s="244">
        <f>'Функц. 2025-2027'!J224</f>
        <v>5193.1000000000004</v>
      </c>
    </row>
    <row r="23" spans="1:6" ht="26.25" customHeight="1" x14ac:dyDescent="0.2">
      <c r="A23" s="356" t="s">
        <v>76</v>
      </c>
      <c r="B23" s="216" t="s">
        <v>30</v>
      </c>
      <c r="C23" s="217" t="s">
        <v>49</v>
      </c>
      <c r="D23" s="367">
        <f>'Функц. 2025-2027'!F231</f>
        <v>650</v>
      </c>
      <c r="E23" s="244">
        <f>'Функц. 2025-2027'!H231</f>
        <v>74</v>
      </c>
      <c r="F23" s="244">
        <f>'Функц. 2025-2027'!J231</f>
        <v>74</v>
      </c>
    </row>
    <row r="24" spans="1:6" ht="42" customHeight="1" x14ac:dyDescent="0.2">
      <c r="A24" s="357" t="s">
        <v>46</v>
      </c>
      <c r="B24" s="218" t="s">
        <v>7</v>
      </c>
      <c r="C24" s="215"/>
      <c r="D24" s="368">
        <f>D25+D27+D26</f>
        <v>51871.6</v>
      </c>
      <c r="E24" s="228">
        <f>E25+E27+E26</f>
        <v>24976.799999999999</v>
      </c>
      <c r="F24" s="228">
        <f>F25+F27+F26</f>
        <v>22943.199999999997</v>
      </c>
    </row>
    <row r="25" spans="1:6" ht="42.75" customHeight="1" x14ac:dyDescent="0.2">
      <c r="A25" s="356" t="s">
        <v>367</v>
      </c>
      <c r="B25" s="216" t="s">
        <v>7</v>
      </c>
      <c r="C25" s="217" t="s">
        <v>22</v>
      </c>
      <c r="D25" s="367">
        <f>'Функц. 2025-2027'!F239</f>
        <v>1278.4000000000001</v>
      </c>
      <c r="E25" s="244">
        <f>'Функц. 2025-2027'!H239</f>
        <v>1177</v>
      </c>
      <c r="F25" s="244">
        <f>'Функц. 2025-2027'!J239</f>
        <v>1177</v>
      </c>
    </row>
    <row r="26" spans="1:6" s="151" customFormat="1" ht="42.75" customHeight="1" x14ac:dyDescent="0.2">
      <c r="A26" s="359" t="s">
        <v>366</v>
      </c>
      <c r="B26" s="216" t="s">
        <v>7</v>
      </c>
      <c r="C26" s="217" t="s">
        <v>36</v>
      </c>
      <c r="D26" s="367">
        <f>'Функц. 2025-2027'!F254</f>
        <v>29249.399999999998</v>
      </c>
      <c r="E26" s="244">
        <f>'Функц. 2025-2027'!H254</f>
        <v>11681</v>
      </c>
      <c r="F26" s="244">
        <f>'Функц. 2025-2027'!J254</f>
        <v>11717</v>
      </c>
    </row>
    <row r="27" spans="1:6" ht="42.75" customHeight="1" x14ac:dyDescent="0.2">
      <c r="A27" s="356" t="s">
        <v>77</v>
      </c>
      <c r="B27" s="216" t="s">
        <v>7</v>
      </c>
      <c r="C27" s="217">
        <v>14</v>
      </c>
      <c r="D27" s="367">
        <f>'Функц. 2025-2027'!F294</f>
        <v>21343.8</v>
      </c>
      <c r="E27" s="244">
        <f>'Функц. 2025-2027'!H294</f>
        <v>12118.8</v>
      </c>
      <c r="F27" s="244">
        <f>'Функц. 2025-2027'!J294</f>
        <v>10049.199999999999</v>
      </c>
    </row>
    <row r="28" spans="1:6" ht="26.25" customHeight="1" x14ac:dyDescent="0.2">
      <c r="A28" s="357" t="s">
        <v>45</v>
      </c>
      <c r="B28" s="218" t="s">
        <v>49</v>
      </c>
      <c r="C28" s="215"/>
      <c r="D28" s="368">
        <f>D30+D33+D31+D32+D29</f>
        <v>163732.5</v>
      </c>
      <c r="E28" s="228">
        <f>E30+E33+E31+E32+E29</f>
        <v>129237.7</v>
      </c>
      <c r="F28" s="228">
        <f>F30+F33+F31+F32+F29</f>
        <v>135586.9</v>
      </c>
    </row>
    <row r="29" spans="1:6" s="22" customFormat="1" ht="26.25" customHeight="1" x14ac:dyDescent="0.3">
      <c r="A29" s="360" t="s">
        <v>148</v>
      </c>
      <c r="B29" s="219" t="s">
        <v>49</v>
      </c>
      <c r="C29" s="220" t="s">
        <v>5</v>
      </c>
      <c r="D29" s="367">
        <f>'Функц. 2025-2027'!F311</f>
        <v>919</v>
      </c>
      <c r="E29" s="244">
        <f>'Функц. 2025-2027'!H311</f>
        <v>919</v>
      </c>
      <c r="F29" s="244">
        <f>'Функц. 2025-2027'!J311</f>
        <v>919</v>
      </c>
    </row>
    <row r="30" spans="1:6" ht="27.75" customHeight="1" x14ac:dyDescent="0.2">
      <c r="A30" s="356" t="s">
        <v>78</v>
      </c>
      <c r="B30" s="216" t="s">
        <v>49</v>
      </c>
      <c r="C30" s="217" t="s">
        <v>16</v>
      </c>
      <c r="D30" s="367">
        <f>'Функц. 2025-2027'!F320</f>
        <v>34883.700000000004</v>
      </c>
      <c r="E30" s="244">
        <f>'Функц. 2025-2027'!H320</f>
        <v>30338.7</v>
      </c>
      <c r="F30" s="244">
        <f>'Функц. 2025-2027'!J320</f>
        <v>30337.899999999998</v>
      </c>
    </row>
    <row r="31" spans="1:6" ht="24" customHeight="1" x14ac:dyDescent="0.2">
      <c r="A31" s="358" t="s">
        <v>79</v>
      </c>
      <c r="B31" s="216" t="s">
        <v>49</v>
      </c>
      <c r="C31" s="217" t="s">
        <v>22</v>
      </c>
      <c r="D31" s="367">
        <f>'Функц. 2025-2027'!F335</f>
        <v>122623.1</v>
      </c>
      <c r="E31" s="244">
        <f>'Функц. 2025-2027'!H335</f>
        <v>94600</v>
      </c>
      <c r="F31" s="244">
        <f>'Функц. 2025-2027'!J335</f>
        <v>103953</v>
      </c>
    </row>
    <row r="32" spans="1:6" ht="24" customHeight="1" x14ac:dyDescent="0.2">
      <c r="A32" s="358" t="s">
        <v>98</v>
      </c>
      <c r="B32" s="216" t="s">
        <v>49</v>
      </c>
      <c r="C32" s="217">
        <v>10</v>
      </c>
      <c r="D32" s="367">
        <f>'Функц. 2025-2027'!F366</f>
        <v>3822</v>
      </c>
      <c r="E32" s="244">
        <f>'Функц. 2025-2027'!H366</f>
        <v>3003</v>
      </c>
      <c r="F32" s="244">
        <f>'Функц. 2025-2027'!J366</f>
        <v>0</v>
      </c>
    </row>
    <row r="33" spans="1:6" ht="26.25" customHeight="1" x14ac:dyDescent="0.2">
      <c r="A33" s="356" t="s">
        <v>80</v>
      </c>
      <c r="B33" s="216" t="s">
        <v>49</v>
      </c>
      <c r="C33" s="217">
        <v>12</v>
      </c>
      <c r="D33" s="367">
        <f>'Функц. 2025-2027'!F381</f>
        <v>1484.7</v>
      </c>
      <c r="E33" s="244">
        <f>'Функц. 2025-2027'!H381</f>
        <v>377</v>
      </c>
      <c r="F33" s="244">
        <f>'Функц. 2025-2027'!J381</f>
        <v>377</v>
      </c>
    </row>
    <row r="34" spans="1:6" ht="31.5" customHeight="1" x14ac:dyDescent="0.2">
      <c r="A34" s="357" t="s">
        <v>3</v>
      </c>
      <c r="B34" s="218" t="s">
        <v>5</v>
      </c>
      <c r="C34" s="215"/>
      <c r="D34" s="368">
        <f>D35+D37+D38+D36</f>
        <v>1914377.0000000002</v>
      </c>
      <c r="E34" s="228">
        <f>E35+E37+E38+E36</f>
        <v>1121602.3</v>
      </c>
      <c r="F34" s="228">
        <f>F35+F37+F38+F36</f>
        <v>970699.89999999991</v>
      </c>
    </row>
    <row r="35" spans="1:6" ht="24.75" customHeight="1" x14ac:dyDescent="0.2">
      <c r="A35" s="356" t="s">
        <v>81</v>
      </c>
      <c r="B35" s="216" t="s">
        <v>5</v>
      </c>
      <c r="C35" s="217" t="s">
        <v>29</v>
      </c>
      <c r="D35" s="367">
        <f>'Функц. 2025-2027'!F398</f>
        <v>28757.7</v>
      </c>
      <c r="E35" s="244">
        <f>'Функц. 2025-2027'!H398</f>
        <v>8300</v>
      </c>
      <c r="F35" s="244">
        <f>'Функц. 2025-2027'!J398</f>
        <v>8300</v>
      </c>
    </row>
    <row r="36" spans="1:6" s="142" customFormat="1" ht="30.75" customHeight="1" x14ac:dyDescent="0.2">
      <c r="A36" s="359" t="s">
        <v>324</v>
      </c>
      <c r="B36" s="221" t="s">
        <v>5</v>
      </c>
      <c r="C36" s="222" t="s">
        <v>30</v>
      </c>
      <c r="D36" s="367">
        <f>'Функц. 2025-2027'!F417</f>
        <v>952815.00000000012</v>
      </c>
      <c r="E36" s="443">
        <f>'Функц. 2025-2027'!H417</f>
        <v>669118.1</v>
      </c>
      <c r="F36" s="443">
        <f>'Функц. 2025-2027'!J417</f>
        <v>240743.3</v>
      </c>
    </row>
    <row r="37" spans="1:6" ht="32.25" customHeight="1" x14ac:dyDescent="0.2">
      <c r="A37" s="356" t="s">
        <v>82</v>
      </c>
      <c r="B37" s="216" t="s">
        <v>5</v>
      </c>
      <c r="C37" s="217" t="s">
        <v>7</v>
      </c>
      <c r="D37" s="367">
        <f>'Функц. 2025-2027'!F483</f>
        <v>901851.50000000012</v>
      </c>
      <c r="E37" s="244">
        <f>'Функц. 2025-2027'!H483</f>
        <v>413974.4</v>
      </c>
      <c r="F37" s="244">
        <f>'Функц. 2025-2027'!J483</f>
        <v>691441.2</v>
      </c>
    </row>
    <row r="38" spans="1:6" ht="31.5" customHeight="1" thickBot="1" x14ac:dyDescent="0.25">
      <c r="A38" s="356" t="s">
        <v>83</v>
      </c>
      <c r="B38" s="216" t="s">
        <v>5</v>
      </c>
      <c r="C38" s="217" t="s">
        <v>5</v>
      </c>
      <c r="D38" s="367">
        <f>'Функц. 2025-2027'!F573</f>
        <v>30952.800000000003</v>
      </c>
      <c r="E38" s="244">
        <f>'Функц. 2025-2027'!H573</f>
        <v>30209.8</v>
      </c>
      <c r="F38" s="244">
        <f>'Функц. 2025-2027'!J573</f>
        <v>30215.399999999998</v>
      </c>
    </row>
    <row r="39" spans="1:6" s="623" customFormat="1" ht="31.5" customHeight="1" thickBot="1" x14ac:dyDescent="0.25">
      <c r="A39" s="361">
        <v>1</v>
      </c>
      <c r="B39" s="232">
        <v>2</v>
      </c>
      <c r="C39" s="233">
        <v>3</v>
      </c>
      <c r="D39" s="369">
        <v>4</v>
      </c>
      <c r="E39" s="248">
        <v>5</v>
      </c>
      <c r="F39" s="248">
        <v>6</v>
      </c>
    </row>
    <row r="40" spans="1:6" s="151" customFormat="1" ht="24.75" customHeight="1" x14ac:dyDescent="0.3">
      <c r="A40" s="362" t="s">
        <v>39</v>
      </c>
      <c r="B40" s="223" t="s">
        <v>95</v>
      </c>
      <c r="C40" s="224"/>
      <c r="D40" s="368">
        <f>D41+D42</f>
        <v>825104</v>
      </c>
      <c r="E40" s="368">
        <f>E41+E42</f>
        <v>134</v>
      </c>
      <c r="F40" s="368">
        <f>F41+F42</f>
        <v>134</v>
      </c>
    </row>
    <row r="41" spans="1:6" s="408" customFormat="1" ht="24.75" customHeight="1" x14ac:dyDescent="0.2">
      <c r="A41" s="412" t="s">
        <v>590</v>
      </c>
      <c r="B41" s="410" t="s">
        <v>95</v>
      </c>
      <c r="C41" s="411" t="s">
        <v>30</v>
      </c>
      <c r="D41" s="413">
        <f>'Функц. 2025-2027'!F603</f>
        <v>824970</v>
      </c>
      <c r="E41" s="413">
        <f>'Функц. 2025-2027'!H603</f>
        <v>0</v>
      </c>
      <c r="F41" s="413">
        <f>'Функц. 2025-2027'!J603</f>
        <v>0</v>
      </c>
    </row>
    <row r="42" spans="1:6" s="529" customFormat="1" ht="24.75" customHeight="1" x14ac:dyDescent="0.3">
      <c r="A42" s="534" t="s">
        <v>691</v>
      </c>
      <c r="B42" s="535" t="s">
        <v>95</v>
      </c>
      <c r="C42" s="536" t="s">
        <v>5</v>
      </c>
      <c r="D42" s="533">
        <f>'Функц. 2025-2027'!F613</f>
        <v>134</v>
      </c>
      <c r="E42" s="413">
        <f>'Функц. 2025-2027'!H613</f>
        <v>134</v>
      </c>
      <c r="F42" s="413">
        <f>'Функц. 2025-2027'!J613</f>
        <v>134</v>
      </c>
    </row>
    <row r="43" spans="1:6" ht="26.25" customHeight="1" x14ac:dyDescent="0.2">
      <c r="A43" s="363" t="s">
        <v>4</v>
      </c>
      <c r="B43" s="218" t="s">
        <v>8</v>
      </c>
      <c r="C43" s="225"/>
      <c r="D43" s="370">
        <f>D44+D45+D47+D48+D46</f>
        <v>1567720.3</v>
      </c>
      <c r="E43" s="252">
        <f>E44+E45+E47+E48+E46</f>
        <v>1344677</v>
      </c>
      <c r="F43" s="252">
        <f>F44+F45+F47+F48+F46</f>
        <v>1341475.8</v>
      </c>
    </row>
    <row r="44" spans="1:6" ht="30" customHeight="1" x14ac:dyDescent="0.2">
      <c r="A44" s="356" t="s">
        <v>84</v>
      </c>
      <c r="B44" s="226" t="s">
        <v>8</v>
      </c>
      <c r="C44" s="217" t="s">
        <v>29</v>
      </c>
      <c r="D44" s="367">
        <f>'Функц. 2025-2027'!F621</f>
        <v>474870.8</v>
      </c>
      <c r="E44" s="229">
        <f>'Функц. 2025-2027'!H621</f>
        <v>461823.3</v>
      </c>
      <c r="F44" s="229">
        <f>'Функц. 2025-2027'!J621</f>
        <v>467723.5</v>
      </c>
    </row>
    <row r="45" spans="1:6" ht="24.75" customHeight="1" x14ac:dyDescent="0.2">
      <c r="A45" s="356" t="s">
        <v>85</v>
      </c>
      <c r="B45" s="226" t="s">
        <v>8</v>
      </c>
      <c r="C45" s="217" t="s">
        <v>30</v>
      </c>
      <c r="D45" s="371">
        <f>'Функц. 2025-2027'!F645</f>
        <v>895547.90000000014</v>
      </c>
      <c r="E45" s="230">
        <f>'Функц. 2025-2027'!H645</f>
        <v>727748.5</v>
      </c>
      <c r="F45" s="230">
        <f>'Функц. 2025-2027'!J645</f>
        <v>716115.5</v>
      </c>
    </row>
    <row r="46" spans="1:6" ht="27.75" customHeight="1" x14ac:dyDescent="0.2">
      <c r="A46" s="356" t="s">
        <v>147</v>
      </c>
      <c r="B46" s="226" t="s">
        <v>8</v>
      </c>
      <c r="C46" s="217" t="s">
        <v>7</v>
      </c>
      <c r="D46" s="367">
        <f>'Функц. 2025-2027'!F715</f>
        <v>159220</v>
      </c>
      <c r="E46" s="244">
        <f>'Функц. 2025-2027'!H715</f>
        <v>119938.2</v>
      </c>
      <c r="F46" s="244">
        <f>'Функц. 2025-2027'!J715</f>
        <v>122324.3</v>
      </c>
    </row>
    <row r="47" spans="1:6" ht="25.5" customHeight="1" x14ac:dyDescent="0.2">
      <c r="A47" s="356" t="s">
        <v>133</v>
      </c>
      <c r="B47" s="216" t="s">
        <v>8</v>
      </c>
      <c r="C47" s="217" t="s">
        <v>8</v>
      </c>
      <c r="D47" s="367">
        <f>'Функц. 2025-2027'!F757</f>
        <v>3017.9</v>
      </c>
      <c r="E47" s="244">
        <f>'Функц. 2025-2027'!H757</f>
        <v>2157.9</v>
      </c>
      <c r="F47" s="244">
        <f>'Функц. 2025-2027'!J757</f>
        <v>2246.4</v>
      </c>
    </row>
    <row r="48" spans="1:6" ht="28.5" customHeight="1" x14ac:dyDescent="0.2">
      <c r="A48" s="356" t="s">
        <v>86</v>
      </c>
      <c r="B48" s="216" t="s">
        <v>8</v>
      </c>
      <c r="C48" s="217" t="s">
        <v>22</v>
      </c>
      <c r="D48" s="367">
        <f>'Функц. 2025-2027'!F781</f>
        <v>35063.700000000004</v>
      </c>
      <c r="E48" s="244">
        <f>'Функц. 2025-2027'!H781</f>
        <v>33009.100000000006</v>
      </c>
      <c r="F48" s="244">
        <f>'Функц. 2025-2027'!J781</f>
        <v>33066.100000000006</v>
      </c>
    </row>
    <row r="49" spans="1:6" ht="37.35" customHeight="1" x14ac:dyDescent="0.2">
      <c r="A49" s="357" t="s">
        <v>21</v>
      </c>
      <c r="B49" s="218" t="s">
        <v>16</v>
      </c>
      <c r="C49" s="225"/>
      <c r="D49" s="368">
        <f>D50</f>
        <v>215995</v>
      </c>
      <c r="E49" s="228">
        <f>E50</f>
        <v>168096</v>
      </c>
      <c r="F49" s="228">
        <f>F50</f>
        <v>153265.90000000002</v>
      </c>
    </row>
    <row r="50" spans="1:6" ht="27.75" customHeight="1" x14ac:dyDescent="0.2">
      <c r="A50" s="356" t="s">
        <v>87</v>
      </c>
      <c r="B50" s="216" t="s">
        <v>16</v>
      </c>
      <c r="C50" s="217" t="s">
        <v>29</v>
      </c>
      <c r="D50" s="367">
        <f>'Функц. 2025-2027'!F826</f>
        <v>215995</v>
      </c>
      <c r="E50" s="244">
        <f>'Функц. 2025-2027'!H826</f>
        <v>168096</v>
      </c>
      <c r="F50" s="244">
        <f>'Функц. 2025-2027'!J826</f>
        <v>153265.90000000002</v>
      </c>
    </row>
    <row r="51" spans="1:6" s="623" customFormat="1" ht="27.75" customHeight="1" x14ac:dyDescent="0.2">
      <c r="A51" s="624" t="s">
        <v>759</v>
      </c>
      <c r="B51" s="626" t="s">
        <v>22</v>
      </c>
      <c r="C51" s="627"/>
      <c r="D51" s="368">
        <f>D52</f>
        <v>650</v>
      </c>
      <c r="E51" s="368">
        <f t="shared" ref="E51:F51" si="0">E52</f>
        <v>0</v>
      </c>
      <c r="F51" s="368">
        <f t="shared" si="0"/>
        <v>0</v>
      </c>
    </row>
    <row r="52" spans="1:6" s="623" customFormat="1" ht="27.75" customHeight="1" x14ac:dyDescent="0.2">
      <c r="A52" s="625" t="s">
        <v>760</v>
      </c>
      <c r="B52" s="628" t="s">
        <v>22</v>
      </c>
      <c r="C52" s="629" t="s">
        <v>22</v>
      </c>
      <c r="D52" s="367">
        <f>'Функц. 2025-2027'!F890</f>
        <v>650</v>
      </c>
      <c r="E52" s="443">
        <f>'Функц. 2025-2027'!H890</f>
        <v>0</v>
      </c>
      <c r="F52" s="443">
        <f>'Функц. 2025-2027'!J896</f>
        <v>0</v>
      </c>
    </row>
    <row r="53" spans="1:6" ht="28.5" customHeight="1" x14ac:dyDescent="0.2">
      <c r="A53" s="357" t="s">
        <v>94</v>
      </c>
      <c r="B53" s="218" t="s">
        <v>36</v>
      </c>
      <c r="C53" s="225"/>
      <c r="D53" s="368">
        <f>D54+D57+D56+D55</f>
        <v>55344.3</v>
      </c>
      <c r="E53" s="228">
        <f>E54+E57+E56+E55</f>
        <v>56773.4</v>
      </c>
      <c r="F53" s="228">
        <f>F54+F57+F56+F55</f>
        <v>54173.5</v>
      </c>
    </row>
    <row r="54" spans="1:6" ht="20.25" customHeight="1" x14ac:dyDescent="0.2">
      <c r="A54" s="356" t="s">
        <v>88</v>
      </c>
      <c r="B54" s="216">
        <v>10</v>
      </c>
      <c r="C54" s="217" t="s">
        <v>29</v>
      </c>
      <c r="D54" s="367">
        <f>'Функц. 2025-2027'!F898</f>
        <v>9007</v>
      </c>
      <c r="E54" s="244">
        <f>'Функц. 2025-2027'!H898</f>
        <v>9007</v>
      </c>
      <c r="F54" s="244">
        <f>'Функц. 2025-2027'!J898</f>
        <v>9007</v>
      </c>
    </row>
    <row r="55" spans="1:6" s="287" customFormat="1" ht="20.25" customHeight="1" x14ac:dyDescent="0.3">
      <c r="A55" s="288" t="s">
        <v>457</v>
      </c>
      <c r="B55" s="221">
        <v>10</v>
      </c>
      <c r="C55" s="222" t="s">
        <v>7</v>
      </c>
      <c r="D55" s="367">
        <f>'Функц. 2025-2027'!F905</f>
        <v>331</v>
      </c>
      <c r="E55" s="244">
        <f>'Функц. 2025-2027'!H905</f>
        <v>2990</v>
      </c>
      <c r="F55" s="244">
        <f>'Функц. 2025-2027'!J905</f>
        <v>0</v>
      </c>
    </row>
    <row r="56" spans="1:6" ht="27.75" customHeight="1" x14ac:dyDescent="0.2">
      <c r="A56" s="356" t="s">
        <v>89</v>
      </c>
      <c r="B56" s="216">
        <v>10</v>
      </c>
      <c r="C56" s="217" t="s">
        <v>49</v>
      </c>
      <c r="D56" s="367">
        <f>'Функц. 2025-2027'!F916</f>
        <v>45866.3</v>
      </c>
      <c r="E56" s="244">
        <f>'Функц. 2025-2027'!H916</f>
        <v>44636.4</v>
      </c>
      <c r="F56" s="244">
        <f>'Функц. 2025-2027'!J916</f>
        <v>45026.5</v>
      </c>
    </row>
    <row r="57" spans="1:6" ht="28.5" customHeight="1" x14ac:dyDescent="0.2">
      <c r="A57" s="356" t="s">
        <v>90</v>
      </c>
      <c r="B57" s="216">
        <v>10</v>
      </c>
      <c r="C57" s="217" t="s">
        <v>95</v>
      </c>
      <c r="D57" s="367">
        <f>'Функц. 2025-2027'!F943</f>
        <v>140</v>
      </c>
      <c r="E57" s="244">
        <f>'Функц. 2025-2027'!H943</f>
        <v>140</v>
      </c>
      <c r="F57" s="244">
        <f>'Функц. 2025-2027'!J943</f>
        <v>140</v>
      </c>
    </row>
    <row r="58" spans="1:6" ht="34.35" customHeight="1" x14ac:dyDescent="0.2">
      <c r="A58" s="357" t="s">
        <v>13</v>
      </c>
      <c r="B58" s="227">
        <v>11</v>
      </c>
      <c r="C58" s="215"/>
      <c r="D58" s="368">
        <f>D59+D60</f>
        <v>136390.6</v>
      </c>
      <c r="E58" s="368">
        <f>E59+E60</f>
        <v>124375.9</v>
      </c>
      <c r="F58" s="368">
        <f>F59+F60</f>
        <v>127463.3</v>
      </c>
    </row>
    <row r="59" spans="1:6" ht="28.5" customHeight="1" x14ac:dyDescent="0.2">
      <c r="A59" s="358" t="s">
        <v>91</v>
      </c>
      <c r="B59" s="216">
        <v>11</v>
      </c>
      <c r="C59" s="217" t="s">
        <v>30</v>
      </c>
      <c r="D59" s="367">
        <f>'Функц. 2025-2027'!F954</f>
        <v>10724.5</v>
      </c>
      <c r="E59" s="244">
        <f>'Функц. 2025-2027'!H954</f>
        <v>3632.9</v>
      </c>
      <c r="F59" s="244">
        <f>'Функц. 2025-2027'!J954</f>
        <v>5239.3</v>
      </c>
    </row>
    <row r="60" spans="1:6" s="423" customFormat="1" ht="28.5" customHeight="1" x14ac:dyDescent="0.2">
      <c r="A60" s="358" t="s">
        <v>599</v>
      </c>
      <c r="B60" s="216">
        <v>11</v>
      </c>
      <c r="C60" s="217" t="s">
        <v>7</v>
      </c>
      <c r="D60" s="367">
        <f>'Функц. 2025-2027'!F968</f>
        <v>125666.1</v>
      </c>
      <c r="E60" s="244">
        <f>'Функц. 2025-2027'!H968</f>
        <v>120743</v>
      </c>
      <c r="F60" s="244">
        <f>'Функц. 2025-2027'!J968</f>
        <v>122224</v>
      </c>
    </row>
    <row r="61" spans="1:6" ht="36.6" customHeight="1" x14ac:dyDescent="0.2">
      <c r="A61" s="357" t="s">
        <v>436</v>
      </c>
      <c r="B61" s="227">
        <v>13</v>
      </c>
      <c r="C61" s="215"/>
      <c r="D61" s="368">
        <f>D62</f>
        <v>4534.5</v>
      </c>
      <c r="E61" s="228">
        <f>E62</f>
        <v>40146.5</v>
      </c>
      <c r="F61" s="228">
        <f>F62</f>
        <v>53573.599999999999</v>
      </c>
    </row>
    <row r="62" spans="1:6" ht="39.6" customHeight="1" thickBot="1" x14ac:dyDescent="0.25">
      <c r="A62" s="364" t="s">
        <v>437</v>
      </c>
      <c r="B62" s="239">
        <v>13</v>
      </c>
      <c r="C62" s="240" t="s">
        <v>29</v>
      </c>
      <c r="D62" s="372">
        <f>'Функц. 2025-2027'!F977</f>
        <v>4534.5</v>
      </c>
      <c r="E62" s="245">
        <f>'Функц. 2025-2027'!H982</f>
        <v>40146.5</v>
      </c>
      <c r="F62" s="245">
        <f>'Функц. 2025-2027'!J982</f>
        <v>53573.599999999999</v>
      </c>
    </row>
    <row r="63" spans="1:6" ht="35.1" customHeight="1" thickBot="1" x14ac:dyDescent="0.25">
      <c r="A63" s="365" t="s">
        <v>56</v>
      </c>
      <c r="B63" s="241"/>
      <c r="C63" s="242"/>
      <c r="D63" s="243">
        <f>D61+D58+D53+D49+D43+D34+D28+D24+D21+D13+D40+D51</f>
        <v>5439029.4000000004</v>
      </c>
      <c r="E63" s="442">
        <f t="shared" ref="E63:F63" si="1">E61+E58+E53+E49+E43+E34+E28+E24+E21+E13+E40+E51</f>
        <v>3355666.3</v>
      </c>
      <c r="F63" s="442">
        <f t="shared" si="1"/>
        <v>3189048.2</v>
      </c>
    </row>
  </sheetData>
  <mergeCells count="12">
    <mergeCell ref="D2:F2"/>
    <mergeCell ref="D3:F3"/>
    <mergeCell ref="B4:F4"/>
    <mergeCell ref="F10:F11"/>
    <mergeCell ref="D5:E5"/>
    <mergeCell ref="E8:H8"/>
    <mergeCell ref="A7:F7"/>
    <mergeCell ref="A10:A11"/>
    <mergeCell ref="B10:B11"/>
    <mergeCell ref="C10:C11"/>
    <mergeCell ref="D10:D11"/>
    <mergeCell ref="E10:E11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28"/>
  <sheetViews>
    <sheetView view="pageBreakPreview" topLeftCell="X1113" zoomScaleNormal="100" zoomScaleSheetLayoutView="100" workbookViewId="0">
      <selection activeCell="AB1133" sqref="AB1133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3"/>
      <c r="AD2" s="726" t="s">
        <v>592</v>
      </c>
      <c r="AE2" s="723"/>
      <c r="AF2" s="723"/>
      <c r="AG2" s="700"/>
      <c r="AH2" s="700"/>
    </row>
    <row r="3" spans="1:38" ht="126.75" customHeight="1" x14ac:dyDescent="0.25">
      <c r="X3" s="703"/>
      <c r="AD3" s="727" t="s">
        <v>828</v>
      </c>
      <c r="AE3" s="727"/>
      <c r="AF3" s="727"/>
      <c r="AG3" s="700"/>
      <c r="AH3" s="700"/>
    </row>
    <row r="4" spans="1:38" ht="14.25" customHeight="1" x14ac:dyDescent="0.25">
      <c r="X4" s="703"/>
      <c r="AD4" s="704"/>
      <c r="AE4" s="701"/>
      <c r="AF4" s="701"/>
      <c r="AG4" s="700"/>
      <c r="AH4" s="700"/>
    </row>
    <row r="5" spans="1:38" ht="15.75" x14ac:dyDescent="0.25">
      <c r="AB5" s="630"/>
      <c r="AC5" s="630"/>
      <c r="AD5" s="726" t="s">
        <v>824</v>
      </c>
      <c r="AE5" s="723"/>
      <c r="AF5" s="723"/>
      <c r="AG5" s="434"/>
      <c r="AH5" s="434"/>
    </row>
    <row r="6" spans="1:38" ht="116.25" customHeight="1" x14ac:dyDescent="0.25">
      <c r="AB6" s="445"/>
      <c r="AC6" s="579"/>
      <c r="AD6" s="727" t="s">
        <v>825</v>
      </c>
      <c r="AE6" s="728"/>
      <c r="AF6" s="728"/>
      <c r="AG6" s="434"/>
      <c r="AH6" s="434"/>
      <c r="AI6" s="754"/>
      <c r="AJ6" s="754"/>
      <c r="AK6" s="754"/>
      <c r="AL6" s="754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54"/>
      <c r="AJ7" s="754"/>
      <c r="AK7" s="754"/>
      <c r="AL7" s="754"/>
    </row>
    <row r="8" spans="1:38" s="44" customFormat="1" ht="58.9" customHeight="1" x14ac:dyDescent="0.3">
      <c r="A8" s="755"/>
      <c r="B8" s="756"/>
      <c r="C8" s="756"/>
      <c r="D8" s="756"/>
      <c r="E8" s="756"/>
      <c r="F8" s="756"/>
      <c r="G8" s="756"/>
      <c r="H8" s="756"/>
      <c r="I8" s="756"/>
      <c r="J8" s="756"/>
      <c r="K8" s="756"/>
      <c r="L8" s="756"/>
      <c r="M8" s="756"/>
      <c r="N8" s="756"/>
      <c r="O8" s="756"/>
      <c r="P8" s="756"/>
      <c r="Q8" s="756"/>
      <c r="R8" s="756"/>
      <c r="S8" s="756"/>
      <c r="T8" s="756"/>
      <c r="U8" s="43"/>
      <c r="W8" s="43"/>
      <c r="X8" s="757" t="s">
        <v>782</v>
      </c>
      <c r="Y8" s="757"/>
      <c r="Z8" s="722"/>
      <c r="AA8" s="722"/>
      <c r="AB8" s="722"/>
      <c r="AC8" s="722"/>
      <c r="AD8" s="758"/>
      <c r="AE8" s="758"/>
      <c r="AF8" s="723"/>
      <c r="AG8" s="203"/>
      <c r="AH8" s="203"/>
      <c r="AI8" s="45"/>
      <c r="AJ8" s="750"/>
      <c r="AK8" s="721"/>
      <c r="AL8" s="721"/>
    </row>
    <row r="9" spans="1:38" s="44" customFormat="1" ht="21" thickBot="1" x14ac:dyDescent="0.35">
      <c r="A9" s="755"/>
      <c r="B9" s="756"/>
      <c r="C9" s="756"/>
      <c r="D9" s="756"/>
      <c r="E9" s="756"/>
      <c r="F9" s="756"/>
      <c r="G9" s="756"/>
      <c r="H9" s="756"/>
      <c r="I9" s="756"/>
      <c r="J9" s="756"/>
      <c r="K9" s="756"/>
      <c r="L9" s="756"/>
      <c r="M9" s="756"/>
      <c r="N9" s="756"/>
      <c r="O9" s="756"/>
      <c r="P9" s="756"/>
      <c r="Q9" s="756"/>
      <c r="R9" s="756"/>
      <c r="S9" s="756"/>
      <c r="T9" s="756"/>
      <c r="U9" s="46"/>
      <c r="V9" s="45"/>
      <c r="W9" s="45"/>
      <c r="X9" s="757"/>
      <c r="Y9" s="757"/>
      <c r="Z9" s="757"/>
      <c r="AA9" s="757"/>
      <c r="AB9" s="757"/>
      <c r="AC9" s="757"/>
      <c r="AD9" s="144"/>
      <c r="AF9" s="424" t="s">
        <v>607</v>
      </c>
      <c r="AJ9" s="752"/>
      <c r="AK9" s="753"/>
      <c r="AL9" s="753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49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6" t="s">
        <v>435</v>
      </c>
      <c r="AE10" s="639" t="s">
        <v>608</v>
      </c>
      <c r="AF10" s="640" t="s">
        <v>643</v>
      </c>
      <c r="AG10" s="204"/>
      <c r="AH10" s="204"/>
      <c r="AJ10" s="750"/>
      <c r="AK10" s="751"/>
      <c r="AL10" s="751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67">
        <v>7</v>
      </c>
      <c r="AE11" s="631">
        <v>8</v>
      </c>
      <c r="AF11" s="641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0" t="s">
        <v>139</v>
      </c>
      <c r="Y12" s="448" t="s">
        <v>63</v>
      </c>
      <c r="Z12" s="537"/>
      <c r="AA12" s="537"/>
      <c r="AB12" s="538"/>
      <c r="AC12" s="567"/>
      <c r="AD12" s="668">
        <f>AD13+AD143+AD158+AD230+AD284+AD352+AD360+AD412+AD477+AD485+AD515+AD533</f>
        <v>1329902.9000000001</v>
      </c>
      <c r="AE12" s="632">
        <f>AE13+AE143+AE158+AE230+AE284+AE352+AE360+AE412+AE477+AE485+AE515+AE533</f>
        <v>1037706.9</v>
      </c>
      <c r="AF12" s="642">
        <f>AF13+AF143+AF158+AF230+AF284+AF352+AF360+AF412+AF477+AF485+AF515+AF533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0" t="s">
        <v>25</v>
      </c>
      <c r="Y13" s="448" t="s">
        <v>63</v>
      </c>
      <c r="Z13" s="449" t="s">
        <v>29</v>
      </c>
      <c r="AA13" s="471"/>
      <c r="AB13" s="539"/>
      <c r="AC13" s="476"/>
      <c r="AD13" s="668">
        <f>AD14+AD21+AD67+AD72+AD62</f>
        <v>352225.6</v>
      </c>
      <c r="AE13" s="632">
        <f>AE14+AE21+AE67+AE72+AE62</f>
        <v>249467.3</v>
      </c>
      <c r="AF13" s="642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360</v>
      </c>
      <c r="AD14" s="669">
        <f t="shared" ref="AD14:AF17" si="0">AD15</f>
        <v>9374.2999999999993</v>
      </c>
      <c r="AE14" s="633">
        <f t="shared" si="0"/>
        <v>3451.3</v>
      </c>
      <c r="AF14" s="643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69">
        <f>AD16</f>
        <v>9374.2999999999993</v>
      </c>
      <c r="AE15" s="633">
        <f>AE16</f>
        <v>3451.3</v>
      </c>
      <c r="AF15" s="643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69">
        <f t="shared" si="0"/>
        <v>9374.2999999999993</v>
      </c>
      <c r="AE16" s="633">
        <f t="shared" si="0"/>
        <v>3451.3</v>
      </c>
      <c r="AF16" s="643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69">
        <f t="shared" si="0"/>
        <v>9374.2999999999993</v>
      </c>
      <c r="AE17" s="633">
        <f t="shared" si="0"/>
        <v>3451.3</v>
      </c>
      <c r="AF17" s="643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69">
        <f t="shared" ref="AD18:AF19" si="1">AD19</f>
        <v>9374.2999999999993</v>
      </c>
      <c r="AE18" s="633">
        <f t="shared" si="1"/>
        <v>3451.3</v>
      </c>
      <c r="AF18" s="643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69">
        <f t="shared" si="1"/>
        <v>9374.2999999999993</v>
      </c>
      <c r="AE19" s="633">
        <f t="shared" si="1"/>
        <v>3451.3</v>
      </c>
      <c r="AF19" s="643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69">
        <f>3451.3+5923</f>
        <v>9374.2999999999993</v>
      </c>
      <c r="AE20" s="633">
        <v>3451.3</v>
      </c>
      <c r="AF20" s="643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704</v>
      </c>
      <c r="Y21" s="452" t="s">
        <v>63</v>
      </c>
      <c r="Z21" s="453" t="s">
        <v>29</v>
      </c>
      <c r="AA21" s="453" t="s">
        <v>49</v>
      </c>
      <c r="AB21" s="541"/>
      <c r="AC21" s="482"/>
      <c r="AD21" s="669">
        <f>AD22+AD35+AD56</f>
        <v>127729.9</v>
      </c>
      <c r="AE21" s="633">
        <f>AE22+AE35+AE56</f>
        <v>100872</v>
      </c>
      <c r="AF21" s="643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69">
        <f>AD23+AD30</f>
        <v>5248</v>
      </c>
      <c r="AE22" s="633">
        <f>AE23+AE30</f>
        <v>5206</v>
      </c>
      <c r="AF22" s="643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400</v>
      </c>
      <c r="AC23" s="454"/>
      <c r="AD23" s="669">
        <f t="shared" ref="AD23:AF24" si="2">AD24</f>
        <v>5178</v>
      </c>
      <c r="AE23" s="633">
        <f t="shared" si="2"/>
        <v>5206</v>
      </c>
      <c r="AF23" s="643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518</v>
      </c>
      <c r="Y24" s="452" t="s">
        <v>63</v>
      </c>
      <c r="Z24" s="453" t="s">
        <v>29</v>
      </c>
      <c r="AA24" s="453" t="s">
        <v>49</v>
      </c>
      <c r="AB24" s="541" t="s">
        <v>517</v>
      </c>
      <c r="AC24" s="454"/>
      <c r="AD24" s="669">
        <f t="shared" si="2"/>
        <v>5178</v>
      </c>
      <c r="AE24" s="633">
        <f t="shared" si="2"/>
        <v>5206</v>
      </c>
      <c r="AF24" s="643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1" t="s">
        <v>357</v>
      </c>
      <c r="Y25" s="452" t="s">
        <v>63</v>
      </c>
      <c r="Z25" s="453" t="s">
        <v>29</v>
      </c>
      <c r="AA25" s="453" t="s">
        <v>49</v>
      </c>
      <c r="AB25" s="541" t="s">
        <v>519</v>
      </c>
      <c r="AC25" s="454"/>
      <c r="AD25" s="669">
        <f>AD26+AD28</f>
        <v>5178</v>
      </c>
      <c r="AE25" s="633">
        <f>AE26+AE28</f>
        <v>5206</v>
      </c>
      <c r="AF25" s="643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519</v>
      </c>
      <c r="AC26" s="482">
        <v>100</v>
      </c>
      <c r="AD26" s="669">
        <f>AD27</f>
        <v>4651.3999999999996</v>
      </c>
      <c r="AE26" s="633">
        <f>AE27</f>
        <v>4659.6000000000004</v>
      </c>
      <c r="AF26" s="643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519</v>
      </c>
      <c r="AC27" s="454">
        <v>120</v>
      </c>
      <c r="AD27" s="669">
        <v>4651.3999999999996</v>
      </c>
      <c r="AE27" s="633">
        <v>4659.6000000000004</v>
      </c>
      <c r="AF27" s="643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519</v>
      </c>
      <c r="AC28" s="454">
        <v>200</v>
      </c>
      <c r="AD28" s="669">
        <f>AD29</f>
        <v>526.6</v>
      </c>
      <c r="AE28" s="633">
        <f>AE29</f>
        <v>546.4</v>
      </c>
      <c r="AF28" s="643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519</v>
      </c>
      <c r="AC29" s="454">
        <v>240</v>
      </c>
      <c r="AD29" s="669">
        <v>526.6</v>
      </c>
      <c r="AE29" s="633">
        <v>546.4</v>
      </c>
      <c r="AF29" s="643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566</v>
      </c>
      <c r="Y30" s="452" t="s">
        <v>63</v>
      </c>
      <c r="Z30" s="453" t="s">
        <v>29</v>
      </c>
      <c r="AA30" s="453" t="s">
        <v>49</v>
      </c>
      <c r="AB30" s="543" t="s">
        <v>569</v>
      </c>
      <c r="AC30" s="454"/>
      <c r="AD30" s="669">
        <f>AD31</f>
        <v>70</v>
      </c>
      <c r="AE30" s="633">
        <f t="shared" ref="AE30:AF33" si="3">AE31</f>
        <v>0</v>
      </c>
      <c r="AF30" s="643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2" t="s">
        <v>567</v>
      </c>
      <c r="Y31" s="452" t="s">
        <v>63</v>
      </c>
      <c r="Z31" s="453" t="s">
        <v>29</v>
      </c>
      <c r="AA31" s="453" t="s">
        <v>49</v>
      </c>
      <c r="AB31" s="543" t="s">
        <v>570</v>
      </c>
      <c r="AC31" s="454"/>
      <c r="AD31" s="669">
        <f>AD32</f>
        <v>70</v>
      </c>
      <c r="AE31" s="633">
        <f t="shared" si="3"/>
        <v>0</v>
      </c>
      <c r="AF31" s="643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2" t="s">
        <v>568</v>
      </c>
      <c r="Y32" s="452" t="s">
        <v>63</v>
      </c>
      <c r="Z32" s="453" t="s">
        <v>29</v>
      </c>
      <c r="AA32" s="453" t="s">
        <v>49</v>
      </c>
      <c r="AB32" s="543" t="s">
        <v>571</v>
      </c>
      <c r="AC32" s="454"/>
      <c r="AD32" s="669">
        <f>AD33</f>
        <v>70</v>
      </c>
      <c r="AE32" s="633">
        <f t="shared" si="3"/>
        <v>0</v>
      </c>
      <c r="AF32" s="643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571</v>
      </c>
      <c r="AC33" s="454">
        <v>200</v>
      </c>
      <c r="AD33" s="669">
        <f>AD34</f>
        <v>70</v>
      </c>
      <c r="AE33" s="633">
        <f t="shared" si="3"/>
        <v>0</v>
      </c>
      <c r="AF33" s="643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571</v>
      </c>
      <c r="AC34" s="454">
        <v>240</v>
      </c>
      <c r="AD34" s="669">
        <v>70</v>
      </c>
      <c r="AE34" s="633">
        <v>0</v>
      </c>
      <c r="AF34" s="643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69">
        <f>AD36</f>
        <v>112823.5</v>
      </c>
      <c r="AE35" s="633">
        <f>AE36</f>
        <v>92666</v>
      </c>
      <c r="AF35" s="643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69">
        <f>AD37+AD52</f>
        <v>112823.5</v>
      </c>
      <c r="AE36" s="633">
        <f>AE37+AE52</f>
        <v>92666</v>
      </c>
      <c r="AF36" s="643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69">
        <f>AD38</f>
        <v>112309.5</v>
      </c>
      <c r="AE37" s="633">
        <f>AE38</f>
        <v>92283</v>
      </c>
      <c r="AF37" s="643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69">
        <f>AD39+AD46+AD49</f>
        <v>112309.5</v>
      </c>
      <c r="AE38" s="633">
        <f>AE39+AE46+AE49</f>
        <v>92283</v>
      </c>
      <c r="AF38" s="643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69">
        <f>AD42+AD40+AD44</f>
        <v>11341.099999999999</v>
      </c>
      <c r="AE39" s="669">
        <f t="shared" ref="AE39:AF39" si="4">AE42+AE40+AE44</f>
        <v>9487.2999999999993</v>
      </c>
      <c r="AF39" s="669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69">
        <f>AD41</f>
        <v>50</v>
      </c>
      <c r="AE40" s="633">
        <f>AE41</f>
        <v>50</v>
      </c>
      <c r="AF40" s="643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69">
        <v>50</v>
      </c>
      <c r="AE41" s="633">
        <v>50</v>
      </c>
      <c r="AF41" s="643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69">
        <f>AD43</f>
        <v>11290.999999999998</v>
      </c>
      <c r="AE42" s="633">
        <f>AE43</f>
        <v>9437.2999999999993</v>
      </c>
      <c r="AF42" s="643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69">
        <f>9437.3+537+218+1000-0.1+98.8</f>
        <v>11290.999999999998</v>
      </c>
      <c r="AE43" s="633">
        <v>9437.2999999999993</v>
      </c>
      <c r="AF43" s="643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69">
        <f>AD45</f>
        <v>0.1</v>
      </c>
      <c r="AE44" s="669">
        <f t="shared" ref="AE44:AF44" si="5">AE45</f>
        <v>0</v>
      </c>
      <c r="AF44" s="669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69">
        <v>0.1</v>
      </c>
      <c r="AE45" s="669">
        <v>0</v>
      </c>
      <c r="AF45" s="669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69">
        <f t="shared" ref="AD46:AF47" si="6">AD47</f>
        <v>28421.4</v>
      </c>
      <c r="AE46" s="633">
        <f t="shared" si="6"/>
        <v>28421.4</v>
      </c>
      <c r="AF46" s="643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69">
        <f t="shared" si="6"/>
        <v>28421.4</v>
      </c>
      <c r="AE47" s="633">
        <f t="shared" si="6"/>
        <v>28421.4</v>
      </c>
      <c r="AF47" s="643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69">
        <v>28421.4</v>
      </c>
      <c r="AE48" s="633">
        <v>28421.4</v>
      </c>
      <c r="AF48" s="643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69">
        <f t="shared" ref="AD49:AF50" si="7">AD50</f>
        <v>72547</v>
      </c>
      <c r="AE49" s="633">
        <f t="shared" si="7"/>
        <v>54374.3</v>
      </c>
      <c r="AF49" s="643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69">
        <f t="shared" si="7"/>
        <v>72547</v>
      </c>
      <c r="AE50" s="633">
        <f t="shared" si="7"/>
        <v>54374.3</v>
      </c>
      <c r="AF50" s="643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69">
        <f>54374.3+18172.7</f>
        <v>72547</v>
      </c>
      <c r="AE51" s="633">
        <v>54374.3</v>
      </c>
      <c r="AF51" s="643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533</v>
      </c>
      <c r="Y52" s="452" t="s">
        <v>63</v>
      </c>
      <c r="Z52" s="453" t="s">
        <v>29</v>
      </c>
      <c r="AA52" s="453" t="s">
        <v>49</v>
      </c>
      <c r="AB52" s="544" t="s">
        <v>534</v>
      </c>
      <c r="AC52" s="454"/>
      <c r="AD52" s="669">
        <f>AD53</f>
        <v>514</v>
      </c>
      <c r="AE52" s="633">
        <f t="shared" ref="AE52:AF54" si="8">AE53</f>
        <v>383</v>
      </c>
      <c r="AF52" s="643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405</v>
      </c>
      <c r="Y53" s="452" t="s">
        <v>63</v>
      </c>
      <c r="Z53" s="453" t="s">
        <v>29</v>
      </c>
      <c r="AA53" s="453" t="s">
        <v>49</v>
      </c>
      <c r="AB53" s="542" t="s">
        <v>535</v>
      </c>
      <c r="AC53" s="454"/>
      <c r="AD53" s="669">
        <f>AD54</f>
        <v>514</v>
      </c>
      <c r="AE53" s="633">
        <f t="shared" si="8"/>
        <v>383</v>
      </c>
      <c r="AF53" s="643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535</v>
      </c>
      <c r="AC54" s="454">
        <v>200</v>
      </c>
      <c r="AD54" s="669">
        <f>AD55</f>
        <v>514</v>
      </c>
      <c r="AE54" s="633">
        <f t="shared" si="8"/>
        <v>383</v>
      </c>
      <c r="AF54" s="643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535</v>
      </c>
      <c r="AC55" s="454">
        <v>240</v>
      </c>
      <c r="AD55" s="669">
        <f>460+60-3-3</f>
        <v>514</v>
      </c>
      <c r="AE55" s="633">
        <f>253+130</f>
        <v>383</v>
      </c>
      <c r="AF55" s="643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69">
        <f t="shared" ref="AD56:AF58" si="9">AD57</f>
        <v>9658.4</v>
      </c>
      <c r="AE56" s="633">
        <f t="shared" si="9"/>
        <v>3000</v>
      </c>
      <c r="AF56" s="643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3" t="s">
        <v>514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69">
        <f t="shared" si="9"/>
        <v>9658.4</v>
      </c>
      <c r="AE57" s="633">
        <f t="shared" si="9"/>
        <v>3000</v>
      </c>
      <c r="AF57" s="643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4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69">
        <f t="shared" si="9"/>
        <v>9658.4</v>
      </c>
      <c r="AE58" s="633">
        <f t="shared" si="9"/>
        <v>3000</v>
      </c>
      <c r="AF58" s="643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4" t="s">
        <v>676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69">
        <f t="shared" ref="AD59:AF60" si="10">AD60</f>
        <v>9658.4</v>
      </c>
      <c r="AE59" s="633">
        <f t="shared" si="10"/>
        <v>3000</v>
      </c>
      <c r="AF59" s="643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69">
        <f t="shared" si="10"/>
        <v>9658.4</v>
      </c>
      <c r="AE60" s="633">
        <f t="shared" si="10"/>
        <v>3000</v>
      </c>
      <c r="AF60" s="643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69">
        <f>6608.4+500+2300+250</f>
        <v>9658.4</v>
      </c>
      <c r="AE61" s="633">
        <v>3000</v>
      </c>
      <c r="AF61" s="643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69">
        <f t="shared" ref="AD62:AF65" si="11">AD63</f>
        <v>6400</v>
      </c>
      <c r="AE62" s="633">
        <f t="shared" si="11"/>
        <v>0</v>
      </c>
      <c r="AF62" s="643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5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69">
        <f t="shared" si="11"/>
        <v>6400</v>
      </c>
      <c r="AE63" s="633">
        <f t="shared" si="11"/>
        <v>0</v>
      </c>
      <c r="AF63" s="643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613</v>
      </c>
      <c r="Y64" s="461" t="s">
        <v>63</v>
      </c>
      <c r="Z64" s="453" t="s">
        <v>29</v>
      </c>
      <c r="AA64" s="453" t="s">
        <v>8</v>
      </c>
      <c r="AB64" s="542" t="s">
        <v>614</v>
      </c>
      <c r="AC64" s="454"/>
      <c r="AD64" s="669">
        <f t="shared" si="11"/>
        <v>6400</v>
      </c>
      <c r="AE64" s="633">
        <f t="shared" si="11"/>
        <v>0</v>
      </c>
      <c r="AF64" s="643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614</v>
      </c>
      <c r="AC65" s="454">
        <v>800</v>
      </c>
      <c r="AD65" s="669">
        <f t="shared" si="11"/>
        <v>6400</v>
      </c>
      <c r="AE65" s="633">
        <f t="shared" si="11"/>
        <v>0</v>
      </c>
      <c r="AF65" s="643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620</v>
      </c>
      <c r="Y66" s="452" t="s">
        <v>63</v>
      </c>
      <c r="Z66" s="453" t="s">
        <v>29</v>
      </c>
      <c r="AA66" s="453" t="s">
        <v>8</v>
      </c>
      <c r="AB66" s="542" t="s">
        <v>614</v>
      </c>
      <c r="AC66" s="454">
        <v>880</v>
      </c>
      <c r="AD66" s="669">
        <v>6400</v>
      </c>
      <c r="AE66" s="633">
        <v>0</v>
      </c>
      <c r="AF66" s="643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69">
        <f t="shared" ref="AD67:AF67" si="12">AD68</f>
        <v>1000</v>
      </c>
      <c r="AE67" s="633">
        <f t="shared" si="12"/>
        <v>0</v>
      </c>
      <c r="AF67" s="643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69">
        <f>AD69</f>
        <v>1000</v>
      </c>
      <c r="AE68" s="633">
        <f>AE69</f>
        <v>0</v>
      </c>
      <c r="AF68" s="643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69">
        <f t="shared" ref="AD69:AF70" si="13">AD70</f>
        <v>1000</v>
      </c>
      <c r="AE69" s="633">
        <f t="shared" si="13"/>
        <v>0</v>
      </c>
      <c r="AF69" s="643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69">
        <f t="shared" si="13"/>
        <v>1000</v>
      </c>
      <c r="AE70" s="633">
        <f t="shared" si="13"/>
        <v>0</v>
      </c>
      <c r="AF70" s="643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69">
        <v>1000</v>
      </c>
      <c r="AE71" s="633">
        <v>0</v>
      </c>
      <c r="AF71" s="643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69">
        <f>AD73+AD123+AD129+AD135</f>
        <v>207721.40000000002</v>
      </c>
      <c r="AE72" s="633">
        <f>AE73+AE123+AE129+AE135</f>
        <v>145144</v>
      </c>
      <c r="AF72" s="643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69">
        <f>AD74+AD89</f>
        <v>150093.30000000002</v>
      </c>
      <c r="AE73" s="633">
        <f>AE74+AE89</f>
        <v>91589</v>
      </c>
      <c r="AF73" s="643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6" t="s">
        <v>529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69">
        <f>AD75+AD83</f>
        <v>14155.699999999999</v>
      </c>
      <c r="AE74" s="633">
        <f>AE75+AE83</f>
        <v>14155.699999999999</v>
      </c>
      <c r="AF74" s="643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69">
        <f>AD76</f>
        <v>13827.099999999999</v>
      </c>
      <c r="AE75" s="633">
        <f>AE76</f>
        <v>13827.099999999999</v>
      </c>
      <c r="AF75" s="643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771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69">
        <f>AD81+AD79+AD77</f>
        <v>13827.099999999999</v>
      </c>
      <c r="AE76" s="633">
        <f t="shared" ref="AE76:AF76" si="14">AE81+AE79</f>
        <v>13827.099999999999</v>
      </c>
      <c r="AF76" s="643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69">
        <f>AD78</f>
        <v>45.9</v>
      </c>
      <c r="AE77" s="669">
        <f t="shared" ref="AE77:AF77" si="15">AE78</f>
        <v>0</v>
      </c>
      <c r="AF77" s="669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69">
        <f>30+15.9</f>
        <v>45.9</v>
      </c>
      <c r="AE78" s="633">
        <v>0</v>
      </c>
      <c r="AF78" s="643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69">
        <f>AD80</f>
        <v>2233.2999999999997</v>
      </c>
      <c r="AE79" s="633">
        <f>AE80</f>
        <v>2279.1999999999998</v>
      </c>
      <c r="AF79" s="643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420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69">
        <f>2279.2-30-15.9</f>
        <v>2233.2999999999997</v>
      </c>
      <c r="AE80" s="633">
        <v>2279.1999999999998</v>
      </c>
      <c r="AF80" s="643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69">
        <f>AD82</f>
        <v>11547.9</v>
      </c>
      <c r="AE81" s="633">
        <f>AE82</f>
        <v>11547.9</v>
      </c>
      <c r="AF81" s="643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69">
        <f>11547.9</f>
        <v>11547.9</v>
      </c>
      <c r="AE82" s="633">
        <v>11547.9</v>
      </c>
      <c r="AF82" s="643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719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69">
        <f>AD84</f>
        <v>328.6</v>
      </c>
      <c r="AE83" s="633">
        <f>AE84</f>
        <v>328.6</v>
      </c>
      <c r="AF83" s="643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610</v>
      </c>
      <c r="Y84" s="452" t="s">
        <v>63</v>
      </c>
      <c r="Z84" s="453" t="s">
        <v>29</v>
      </c>
      <c r="AA84" s="453">
        <v>13</v>
      </c>
      <c r="AB84" s="542" t="s">
        <v>609</v>
      </c>
      <c r="AC84" s="470"/>
      <c r="AD84" s="669">
        <f>AD85+AD87</f>
        <v>328.6</v>
      </c>
      <c r="AE84" s="669">
        <f t="shared" ref="AE84:AF84" si="16">AE85+AE87</f>
        <v>328.6</v>
      </c>
      <c r="AF84" s="669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609</v>
      </c>
      <c r="AC85" s="470">
        <v>100</v>
      </c>
      <c r="AD85" s="669">
        <f>AD86</f>
        <v>307.90000000000003</v>
      </c>
      <c r="AE85" s="633">
        <f>AE86</f>
        <v>328.6</v>
      </c>
      <c r="AF85" s="643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1" t="s">
        <v>96</v>
      </c>
      <c r="Y86" s="452" t="s">
        <v>63</v>
      </c>
      <c r="Z86" s="453" t="s">
        <v>29</v>
      </c>
      <c r="AA86" s="453">
        <v>13</v>
      </c>
      <c r="AB86" s="542" t="s">
        <v>609</v>
      </c>
      <c r="AC86" s="470">
        <v>120</v>
      </c>
      <c r="AD86" s="669">
        <f>328.6-87.4+66.7</f>
        <v>307.90000000000003</v>
      </c>
      <c r="AE86" s="633">
        <v>328.6</v>
      </c>
      <c r="AF86" s="643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609</v>
      </c>
      <c r="AC87" s="470">
        <v>200</v>
      </c>
      <c r="AD87" s="669">
        <f>AD88</f>
        <v>20.700000000000003</v>
      </c>
      <c r="AE87" s="669">
        <f t="shared" ref="AE87:AF87" si="17">AE88</f>
        <v>0</v>
      </c>
      <c r="AF87" s="669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609</v>
      </c>
      <c r="AC88" s="470">
        <v>240</v>
      </c>
      <c r="AD88" s="669">
        <f>87.4-66.7</f>
        <v>20.700000000000003</v>
      </c>
      <c r="AE88" s="633">
        <v>0</v>
      </c>
      <c r="AF88" s="643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1" t="s">
        <v>633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69">
        <f>AD90+AD119</f>
        <v>135937.60000000001</v>
      </c>
      <c r="AE89" s="633">
        <f>AE90+AE119</f>
        <v>77433.3</v>
      </c>
      <c r="AF89" s="643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69">
        <f>AD91+AD94+AD106+AD101</f>
        <v>135850.4</v>
      </c>
      <c r="AE90" s="669">
        <f t="shared" ref="AE90:AF90" si="18">AE91+AE94+AE106+AE101</f>
        <v>77350.400000000009</v>
      </c>
      <c r="AF90" s="669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69">
        <f>AD93</f>
        <v>160</v>
      </c>
      <c r="AE91" s="633">
        <f>AE93</f>
        <v>160</v>
      </c>
      <c r="AF91" s="643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69">
        <f>AD93</f>
        <v>160</v>
      </c>
      <c r="AE92" s="633">
        <f>AE93</f>
        <v>160</v>
      </c>
      <c r="AF92" s="643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69">
        <v>160</v>
      </c>
      <c r="AE93" s="633">
        <v>160</v>
      </c>
      <c r="AF93" s="643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550</v>
      </c>
      <c r="Y94" s="452" t="s">
        <v>63</v>
      </c>
      <c r="Z94" s="453" t="s">
        <v>29</v>
      </c>
      <c r="AA94" s="453">
        <v>13</v>
      </c>
      <c r="AB94" s="544" t="s">
        <v>549</v>
      </c>
      <c r="AC94" s="454"/>
      <c r="AD94" s="669">
        <f>AD95+AD97+AD99</f>
        <v>17438.399999999998</v>
      </c>
      <c r="AE94" s="669">
        <f t="shared" ref="AE94:AF94" si="19">AE95+AE97+AE99</f>
        <v>13813</v>
      </c>
      <c r="AF94" s="669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549</v>
      </c>
      <c r="AC95" s="473" t="s">
        <v>127</v>
      </c>
      <c r="AD95" s="669">
        <f>AD96</f>
        <v>16527.099999999999</v>
      </c>
      <c r="AE95" s="633">
        <f>AE96</f>
        <v>12901.7</v>
      </c>
      <c r="AF95" s="643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549</v>
      </c>
      <c r="AC96" s="473" t="s">
        <v>128</v>
      </c>
      <c r="AD96" s="669">
        <f>15778.8+748.3</f>
        <v>16527.099999999999</v>
      </c>
      <c r="AE96" s="633">
        <v>12901.7</v>
      </c>
      <c r="AF96" s="643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549</v>
      </c>
      <c r="AC97" s="473" t="s">
        <v>37</v>
      </c>
      <c r="AD97" s="669">
        <f>AD98</f>
        <v>911.19999999999993</v>
      </c>
      <c r="AE97" s="633">
        <f>AE98</f>
        <v>911.3</v>
      </c>
      <c r="AF97" s="643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549</v>
      </c>
      <c r="AC98" s="473" t="s">
        <v>65</v>
      </c>
      <c r="AD98" s="669">
        <f>911.3-0.1</f>
        <v>911.19999999999993</v>
      </c>
      <c r="AE98" s="633">
        <v>911.3</v>
      </c>
      <c r="AF98" s="643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549</v>
      </c>
      <c r="AC99" s="473" t="s">
        <v>346</v>
      </c>
      <c r="AD99" s="669">
        <f>AD100</f>
        <v>0.1</v>
      </c>
      <c r="AE99" s="669">
        <f t="shared" ref="AE99:AF99" si="20">AE100</f>
        <v>0</v>
      </c>
      <c r="AF99" s="669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549</v>
      </c>
      <c r="AC100" s="473" t="s">
        <v>821</v>
      </c>
      <c r="AD100" s="669">
        <v>0.1</v>
      </c>
      <c r="AE100" s="633">
        <v>0</v>
      </c>
      <c r="AF100" s="643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69">
        <f>AD102+AD104</f>
        <v>19328.599999999999</v>
      </c>
      <c r="AE101" s="669">
        <f t="shared" ref="AE101:AF101" si="21">AE102+AE104</f>
        <v>26390.2</v>
      </c>
      <c r="AF101" s="669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69">
        <f>AD103</f>
        <v>18572.5</v>
      </c>
      <c r="AE102" s="669">
        <f t="shared" ref="AE102:AF102" si="22">AE103</f>
        <v>24918.400000000001</v>
      </c>
      <c r="AF102" s="669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69">
        <f>13228.4+5344.1</f>
        <v>18572.5</v>
      </c>
      <c r="AE103" s="633">
        <v>24918.400000000001</v>
      </c>
      <c r="AF103" s="643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69">
        <f>AD105</f>
        <v>756.1</v>
      </c>
      <c r="AE104" s="669">
        <f t="shared" ref="AE104:AF104" si="23">AE105</f>
        <v>1471.8</v>
      </c>
      <c r="AF104" s="669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69">
        <f>556.1+200</f>
        <v>756.1</v>
      </c>
      <c r="AE105" s="633">
        <v>1471.8</v>
      </c>
      <c r="AF105" s="643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69">
        <f>AD107+AD112</f>
        <v>98923.4</v>
      </c>
      <c r="AE106" s="633">
        <f>AE107+AE112</f>
        <v>36987.200000000004</v>
      </c>
      <c r="AF106" s="643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69">
        <f>AD108+AD110</f>
        <v>79325.799999999988</v>
      </c>
      <c r="AE107" s="633">
        <f>AE108+AE110</f>
        <v>27679.600000000002</v>
      </c>
      <c r="AF107" s="643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69">
        <f>AD109</f>
        <v>78583.899999999994</v>
      </c>
      <c r="AE108" s="633">
        <f>AE109</f>
        <v>26937.7</v>
      </c>
      <c r="AF108" s="643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69">
        <f>76937.7+1646.2</f>
        <v>78583.899999999994</v>
      </c>
      <c r="AE109" s="633">
        <v>26937.7</v>
      </c>
      <c r="AF109" s="643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69">
        <f>AD111</f>
        <v>741.9</v>
      </c>
      <c r="AE110" s="633">
        <f>AE111</f>
        <v>741.9</v>
      </c>
      <c r="AF110" s="643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69">
        <v>741.9</v>
      </c>
      <c r="AE111" s="633">
        <v>741.9</v>
      </c>
      <c r="AF111" s="643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383</v>
      </c>
      <c r="Y112" s="452" t="s">
        <v>63</v>
      </c>
      <c r="Z112" s="453" t="s">
        <v>29</v>
      </c>
      <c r="AA112" s="453">
        <v>13</v>
      </c>
      <c r="AB112" s="544" t="s">
        <v>384</v>
      </c>
      <c r="AC112" s="568"/>
      <c r="AD112" s="669">
        <f>AD113+AD115+AD117</f>
        <v>19597.599999999999</v>
      </c>
      <c r="AE112" s="633">
        <f>AE113+AE115</f>
        <v>9307.6</v>
      </c>
      <c r="AF112" s="643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384</v>
      </c>
      <c r="AC113" s="473" t="s">
        <v>127</v>
      </c>
      <c r="AD113" s="669">
        <f>AD114</f>
        <v>18603.599999999999</v>
      </c>
      <c r="AE113" s="633">
        <f>AE114</f>
        <v>8603.6</v>
      </c>
      <c r="AF113" s="643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384</v>
      </c>
      <c r="AC114" s="473" t="s">
        <v>128</v>
      </c>
      <c r="AD114" s="669">
        <v>18603.599999999999</v>
      </c>
      <c r="AE114" s="633">
        <v>8603.6</v>
      </c>
      <c r="AF114" s="643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384</v>
      </c>
      <c r="AC115" s="473" t="s">
        <v>37</v>
      </c>
      <c r="AD115" s="669">
        <f>AD116</f>
        <v>993.3</v>
      </c>
      <c r="AE115" s="633">
        <f>AE116</f>
        <v>704</v>
      </c>
      <c r="AF115" s="643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384</v>
      </c>
      <c r="AC116" s="473" t="s">
        <v>65</v>
      </c>
      <c r="AD116" s="669">
        <f>704+290-0.7</f>
        <v>993.3</v>
      </c>
      <c r="AE116" s="633">
        <v>704</v>
      </c>
      <c r="AF116" s="643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384</v>
      </c>
      <c r="AC117" s="473" t="s">
        <v>346</v>
      </c>
      <c r="AD117" s="669">
        <f>AD118</f>
        <v>0.7</v>
      </c>
      <c r="AE117" s="669">
        <f t="shared" ref="AE117:AF117" si="24">AE118</f>
        <v>0</v>
      </c>
      <c r="AF117" s="669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384</v>
      </c>
      <c r="AC118" s="473" t="s">
        <v>821</v>
      </c>
      <c r="AD118" s="669">
        <v>0.7</v>
      </c>
      <c r="AE118" s="633">
        <v>0</v>
      </c>
      <c r="AF118" s="643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533</v>
      </c>
      <c r="Y119" s="452" t="s">
        <v>63</v>
      </c>
      <c r="Z119" s="453" t="s">
        <v>29</v>
      </c>
      <c r="AA119" s="453">
        <v>13</v>
      </c>
      <c r="AB119" s="544" t="s">
        <v>534</v>
      </c>
      <c r="AC119" s="454"/>
      <c r="AD119" s="669">
        <f>AD120</f>
        <v>87.2</v>
      </c>
      <c r="AE119" s="633">
        <f t="shared" ref="AE119:AF119" si="25">AE120</f>
        <v>82.9</v>
      </c>
      <c r="AF119" s="643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405</v>
      </c>
      <c r="Y120" s="452" t="s">
        <v>63</v>
      </c>
      <c r="Z120" s="453" t="s">
        <v>29</v>
      </c>
      <c r="AA120" s="453">
        <v>13</v>
      </c>
      <c r="AB120" s="542" t="s">
        <v>535</v>
      </c>
      <c r="AC120" s="454"/>
      <c r="AD120" s="669">
        <f>AD121</f>
        <v>87.2</v>
      </c>
      <c r="AE120" s="633">
        <f t="shared" ref="AE120:AF120" si="26">AE121</f>
        <v>82.9</v>
      </c>
      <c r="AF120" s="643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535</v>
      </c>
      <c r="AC121" s="454">
        <v>200</v>
      </c>
      <c r="AD121" s="669">
        <f>AD122</f>
        <v>87.2</v>
      </c>
      <c r="AE121" s="633">
        <f t="shared" ref="AE121:AF121" si="27">AE122</f>
        <v>82.9</v>
      </c>
      <c r="AF121" s="643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535</v>
      </c>
      <c r="AC122" s="454">
        <v>240</v>
      </c>
      <c r="AD122" s="669">
        <f>45.2+36+3+3</f>
        <v>87.2</v>
      </c>
      <c r="AE122" s="633">
        <f>46.9+36</f>
        <v>82.9</v>
      </c>
      <c r="AF122" s="643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69">
        <f t="shared" ref="AD123:AF124" si="28">AD124</f>
        <v>0.6</v>
      </c>
      <c r="AE123" s="633">
        <f t="shared" si="28"/>
        <v>922</v>
      </c>
      <c r="AF123" s="643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443</v>
      </c>
      <c r="AC124" s="454"/>
      <c r="AD124" s="669">
        <f t="shared" si="28"/>
        <v>0.6</v>
      </c>
      <c r="AE124" s="633">
        <f t="shared" si="28"/>
        <v>922</v>
      </c>
      <c r="AF124" s="643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57" t="s">
        <v>311</v>
      </c>
      <c r="Y125" s="452" t="s">
        <v>63</v>
      </c>
      <c r="Z125" s="453" t="s">
        <v>29</v>
      </c>
      <c r="AA125" s="453">
        <v>13</v>
      </c>
      <c r="AB125" s="542" t="s">
        <v>452</v>
      </c>
      <c r="AC125" s="454"/>
      <c r="AD125" s="669">
        <f t="shared" ref="AD125:AF127" si="29">AD126</f>
        <v>0.6</v>
      </c>
      <c r="AE125" s="633">
        <f t="shared" si="29"/>
        <v>922</v>
      </c>
      <c r="AF125" s="643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3" t="s">
        <v>454</v>
      </c>
      <c r="Y126" s="452" t="s">
        <v>63</v>
      </c>
      <c r="Z126" s="453" t="s">
        <v>29</v>
      </c>
      <c r="AA126" s="453">
        <v>13</v>
      </c>
      <c r="AB126" s="542" t="s">
        <v>453</v>
      </c>
      <c r="AC126" s="454"/>
      <c r="AD126" s="669">
        <f t="shared" si="29"/>
        <v>0.6</v>
      </c>
      <c r="AE126" s="633">
        <f t="shared" si="29"/>
        <v>922</v>
      </c>
      <c r="AF126" s="643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453</v>
      </c>
      <c r="AC127" s="454">
        <v>200</v>
      </c>
      <c r="AD127" s="669">
        <f t="shared" si="29"/>
        <v>0.6</v>
      </c>
      <c r="AE127" s="633">
        <f t="shared" si="29"/>
        <v>922</v>
      </c>
      <c r="AF127" s="643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453</v>
      </c>
      <c r="AC128" s="454">
        <v>240</v>
      </c>
      <c r="AD128" s="669">
        <v>0.6</v>
      </c>
      <c r="AE128" s="633">
        <v>922</v>
      </c>
      <c r="AF128" s="643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69">
        <f>AD130</f>
        <v>57349</v>
      </c>
      <c r="AE129" s="633">
        <f t="shared" ref="AE129:AF129" si="30">AE130</f>
        <v>52633</v>
      </c>
      <c r="AF129" s="643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536</v>
      </c>
      <c r="AC130" s="454"/>
      <c r="AD130" s="669">
        <f>AD131</f>
        <v>57349</v>
      </c>
      <c r="AE130" s="633">
        <f t="shared" ref="AE130:AF133" si="31">AE131</f>
        <v>52633</v>
      </c>
      <c r="AF130" s="643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537</v>
      </c>
      <c r="AC131" s="454"/>
      <c r="AD131" s="669">
        <f>AD132</f>
        <v>57349</v>
      </c>
      <c r="AE131" s="633">
        <f t="shared" si="31"/>
        <v>52633</v>
      </c>
      <c r="AF131" s="643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538</v>
      </c>
      <c r="AC132" s="454"/>
      <c r="AD132" s="669">
        <f>AD133</f>
        <v>57349</v>
      </c>
      <c r="AE132" s="633">
        <f t="shared" si="31"/>
        <v>52633</v>
      </c>
      <c r="AF132" s="643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538</v>
      </c>
      <c r="AC133" s="454">
        <v>600</v>
      </c>
      <c r="AD133" s="669">
        <f>AD134</f>
        <v>57349</v>
      </c>
      <c r="AE133" s="633">
        <f t="shared" si="31"/>
        <v>52633</v>
      </c>
      <c r="AF133" s="643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538</v>
      </c>
      <c r="AC134" s="454">
        <v>610</v>
      </c>
      <c r="AD134" s="669">
        <f>51719+1320+4310</f>
        <v>57349</v>
      </c>
      <c r="AE134" s="633">
        <f>51719+914</f>
        <v>52633</v>
      </c>
      <c r="AF134" s="643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69">
        <f>AD139+AD136</f>
        <v>278.5</v>
      </c>
      <c r="AE135" s="669">
        <f t="shared" ref="AE135:AF135" si="32">AE139+AE136</f>
        <v>0</v>
      </c>
      <c r="AF135" s="669">
        <f t="shared" si="32"/>
        <v>0</v>
      </c>
      <c r="AG135" s="180"/>
      <c r="AH135" s="180"/>
      <c r="AI135" s="147"/>
    </row>
    <row r="136" spans="1:35" x14ac:dyDescent="0.25">
      <c r="A136" s="90"/>
      <c r="B136" s="493"/>
      <c r="C136" s="494"/>
      <c r="D136" s="494"/>
      <c r="E136" s="495"/>
      <c r="F136" s="494"/>
      <c r="G136" s="496"/>
      <c r="H136" s="40"/>
      <c r="I136" s="91"/>
      <c r="J136" s="91"/>
      <c r="K136" s="91"/>
      <c r="L136" s="492"/>
      <c r="M136" s="91"/>
      <c r="N136" s="492"/>
      <c r="O136" s="82"/>
      <c r="P136" s="496"/>
      <c r="Q136" s="497"/>
      <c r="R136" s="84"/>
      <c r="S136" s="498"/>
      <c r="T136" s="498"/>
      <c r="U136" s="498"/>
      <c r="V136" s="498"/>
      <c r="X136" s="451" t="s">
        <v>793</v>
      </c>
      <c r="Y136" s="452" t="s">
        <v>63</v>
      </c>
      <c r="Z136" s="453" t="s">
        <v>29</v>
      </c>
      <c r="AA136" s="453">
        <v>13</v>
      </c>
      <c r="AB136" s="542" t="s">
        <v>794</v>
      </c>
      <c r="AC136" s="454"/>
      <c r="AD136" s="669">
        <f>AD137</f>
        <v>128.5</v>
      </c>
      <c r="AE136" s="669">
        <f t="shared" ref="AE136:AF137" si="33">AE137</f>
        <v>0</v>
      </c>
      <c r="AF136" s="669">
        <f t="shared" si="33"/>
        <v>0</v>
      </c>
      <c r="AG136" s="506"/>
      <c r="AH136" s="506"/>
      <c r="AI136" s="502"/>
    </row>
    <row r="137" spans="1:35" x14ac:dyDescent="0.25">
      <c r="A137" s="90"/>
      <c r="B137" s="493"/>
      <c r="C137" s="494"/>
      <c r="D137" s="494"/>
      <c r="E137" s="495"/>
      <c r="F137" s="494"/>
      <c r="G137" s="496"/>
      <c r="H137" s="40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X137" s="451" t="s">
        <v>42</v>
      </c>
      <c r="Y137" s="452" t="s">
        <v>63</v>
      </c>
      <c r="Z137" s="453" t="s">
        <v>29</v>
      </c>
      <c r="AA137" s="453">
        <v>13</v>
      </c>
      <c r="AB137" s="542" t="s">
        <v>794</v>
      </c>
      <c r="AC137" s="454">
        <v>800</v>
      </c>
      <c r="AD137" s="669">
        <f>AD138</f>
        <v>128.5</v>
      </c>
      <c r="AE137" s="669">
        <f t="shared" si="33"/>
        <v>0</v>
      </c>
      <c r="AF137" s="669">
        <f t="shared" si="33"/>
        <v>0</v>
      </c>
      <c r="AG137" s="506"/>
      <c r="AH137" s="506"/>
      <c r="AI137" s="502"/>
    </row>
    <row r="138" spans="1:35" x14ac:dyDescent="0.25">
      <c r="A138" s="90"/>
      <c r="B138" s="493"/>
      <c r="C138" s="494"/>
      <c r="D138" s="494"/>
      <c r="E138" s="495"/>
      <c r="F138" s="494"/>
      <c r="G138" s="496"/>
      <c r="H138" s="40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X138" s="451" t="s">
        <v>795</v>
      </c>
      <c r="Y138" s="452" t="s">
        <v>63</v>
      </c>
      <c r="Z138" s="453" t="s">
        <v>29</v>
      </c>
      <c r="AA138" s="453">
        <v>13</v>
      </c>
      <c r="AB138" s="542" t="s">
        <v>794</v>
      </c>
      <c r="AC138" s="454">
        <v>830</v>
      </c>
      <c r="AD138" s="669">
        <f>77+51.5</f>
        <v>128.5</v>
      </c>
      <c r="AE138" s="669">
        <v>0</v>
      </c>
      <c r="AF138" s="707">
        <v>0</v>
      </c>
      <c r="AG138" s="506"/>
      <c r="AH138" s="506"/>
      <c r="AI138" s="502"/>
    </row>
    <row r="139" spans="1:35" x14ac:dyDescent="0.25">
      <c r="A139" s="90"/>
      <c r="B139" s="78"/>
      <c r="C139" s="79"/>
      <c r="D139" s="79"/>
      <c r="E139" s="80"/>
      <c r="F139" s="79"/>
      <c r="G139" s="81"/>
      <c r="H139" s="40"/>
      <c r="I139" s="91"/>
      <c r="J139" s="91"/>
      <c r="K139" s="91"/>
      <c r="L139" s="73"/>
      <c r="M139" s="91"/>
      <c r="N139" s="73"/>
      <c r="O139" s="82"/>
      <c r="P139" s="81"/>
      <c r="Q139" s="83"/>
      <c r="R139" s="84"/>
      <c r="S139" s="87"/>
      <c r="T139" s="87"/>
      <c r="U139" s="87"/>
      <c r="V139" s="87"/>
      <c r="X139" s="451" t="s">
        <v>426</v>
      </c>
      <c r="Y139" s="452" t="s">
        <v>63</v>
      </c>
      <c r="Z139" s="469" t="s">
        <v>29</v>
      </c>
      <c r="AA139" s="469">
        <v>13</v>
      </c>
      <c r="AB139" s="546" t="s">
        <v>427</v>
      </c>
      <c r="AC139" s="470"/>
      <c r="AD139" s="669">
        <f>AD140</f>
        <v>150</v>
      </c>
      <c r="AE139" s="669">
        <f t="shared" ref="AE139:AF139" si="34">AE140</f>
        <v>0</v>
      </c>
      <c r="AF139" s="669">
        <f t="shared" si="34"/>
        <v>0</v>
      </c>
      <c r="AG139" s="180"/>
      <c r="AH139" s="180"/>
      <c r="AI139" s="147"/>
    </row>
    <row r="140" spans="1:35" s="699" customFormat="1" x14ac:dyDescent="0.25">
      <c r="A140" s="90"/>
      <c r="B140" s="493"/>
      <c r="C140" s="494"/>
      <c r="D140" s="494"/>
      <c r="E140" s="495"/>
      <c r="F140" s="494"/>
      <c r="G140" s="496"/>
      <c r="H140" s="696"/>
      <c r="I140" s="91"/>
      <c r="J140" s="91"/>
      <c r="K140" s="91"/>
      <c r="L140" s="492"/>
      <c r="M140" s="91"/>
      <c r="N140" s="492"/>
      <c r="O140" s="82"/>
      <c r="P140" s="496"/>
      <c r="Q140" s="497"/>
      <c r="R140" s="84"/>
      <c r="S140" s="498"/>
      <c r="T140" s="498"/>
      <c r="U140" s="498"/>
      <c r="V140" s="498"/>
      <c r="W140" s="696"/>
      <c r="X140" s="451" t="s">
        <v>796</v>
      </c>
      <c r="Y140" s="467" t="s">
        <v>63</v>
      </c>
      <c r="Z140" s="469" t="s">
        <v>29</v>
      </c>
      <c r="AA140" s="470">
        <v>13</v>
      </c>
      <c r="AB140" s="697" t="s">
        <v>797</v>
      </c>
      <c r="AC140" s="698"/>
      <c r="AD140" s="695">
        <f t="shared" ref="AD140:AF141" si="35">AD141</f>
        <v>150</v>
      </c>
      <c r="AE140" s="695">
        <f t="shared" si="35"/>
        <v>0</v>
      </c>
      <c r="AF140" s="695">
        <f t="shared" si="35"/>
        <v>0</v>
      </c>
      <c r="AG140" s="506"/>
      <c r="AH140" s="506"/>
      <c r="AI140" s="502"/>
    </row>
    <row r="141" spans="1:35" s="699" customFormat="1" x14ac:dyDescent="0.25">
      <c r="A141" s="90"/>
      <c r="B141" s="493"/>
      <c r="C141" s="494"/>
      <c r="D141" s="494"/>
      <c r="E141" s="495"/>
      <c r="F141" s="494"/>
      <c r="G141" s="496"/>
      <c r="H141" s="696"/>
      <c r="I141" s="91"/>
      <c r="J141" s="91"/>
      <c r="K141" s="91"/>
      <c r="L141" s="492"/>
      <c r="M141" s="91"/>
      <c r="N141" s="492"/>
      <c r="O141" s="82"/>
      <c r="P141" s="496"/>
      <c r="Q141" s="497"/>
      <c r="R141" s="84"/>
      <c r="S141" s="498"/>
      <c r="T141" s="498"/>
      <c r="U141" s="498"/>
      <c r="V141" s="498"/>
      <c r="W141" s="696"/>
      <c r="X141" s="451" t="s">
        <v>42</v>
      </c>
      <c r="Y141" s="467" t="s">
        <v>63</v>
      </c>
      <c r="Z141" s="469" t="s">
        <v>29</v>
      </c>
      <c r="AA141" s="470">
        <v>13</v>
      </c>
      <c r="AB141" s="697" t="s">
        <v>797</v>
      </c>
      <c r="AC141" s="698">
        <v>800</v>
      </c>
      <c r="AD141" s="695">
        <f t="shared" si="35"/>
        <v>150</v>
      </c>
      <c r="AE141" s="695">
        <f t="shared" si="35"/>
        <v>0</v>
      </c>
      <c r="AF141" s="695">
        <f t="shared" si="35"/>
        <v>0</v>
      </c>
      <c r="AG141" s="506"/>
      <c r="AH141" s="506"/>
      <c r="AI141" s="502"/>
    </row>
    <row r="142" spans="1:35" s="699" customFormat="1" x14ac:dyDescent="0.25">
      <c r="A142" s="90"/>
      <c r="B142" s="493"/>
      <c r="C142" s="494"/>
      <c r="D142" s="494"/>
      <c r="E142" s="495"/>
      <c r="F142" s="494"/>
      <c r="G142" s="496"/>
      <c r="H142" s="696"/>
      <c r="I142" s="91"/>
      <c r="J142" s="91"/>
      <c r="K142" s="91"/>
      <c r="L142" s="492"/>
      <c r="M142" s="91"/>
      <c r="N142" s="492"/>
      <c r="O142" s="82"/>
      <c r="P142" s="496"/>
      <c r="Q142" s="497"/>
      <c r="R142" s="84"/>
      <c r="S142" s="498"/>
      <c r="T142" s="498"/>
      <c r="U142" s="498"/>
      <c r="V142" s="498"/>
      <c r="W142" s="696"/>
      <c r="X142" s="451" t="s">
        <v>57</v>
      </c>
      <c r="Y142" s="452" t="s">
        <v>63</v>
      </c>
      <c r="Z142" s="469" t="s">
        <v>29</v>
      </c>
      <c r="AA142" s="470">
        <v>13</v>
      </c>
      <c r="AB142" s="697" t="s">
        <v>797</v>
      </c>
      <c r="AC142" s="698">
        <v>850</v>
      </c>
      <c r="AD142" s="695">
        <f>50+100</f>
        <v>150</v>
      </c>
      <c r="AE142" s="695">
        <v>0</v>
      </c>
      <c r="AF142" s="695">
        <v>0</v>
      </c>
      <c r="AG142" s="506"/>
      <c r="AH142" s="506"/>
      <c r="AI142" s="502"/>
    </row>
    <row r="143" spans="1:35" s="96" customFormat="1" x14ac:dyDescent="0.25">
      <c r="A143" s="68"/>
      <c r="B143" s="69"/>
      <c r="C143" s="71"/>
      <c r="D143" s="71"/>
      <c r="E143" s="72"/>
      <c r="F143" s="72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5"/>
      <c r="R143" s="95"/>
      <c r="S143" s="95"/>
      <c r="T143" s="95"/>
      <c r="U143" s="95"/>
      <c r="V143" s="95"/>
      <c r="W143" s="95"/>
      <c r="X143" s="650" t="s">
        <v>11</v>
      </c>
      <c r="Y143" s="448" t="s">
        <v>63</v>
      </c>
      <c r="Z143" s="471" t="s">
        <v>30</v>
      </c>
      <c r="AA143" s="471"/>
      <c r="AB143" s="539"/>
      <c r="AC143" s="476"/>
      <c r="AD143" s="668">
        <f>AD144+AD151</f>
        <v>5306.4</v>
      </c>
      <c r="AE143" s="632">
        <f>AE144+AE151</f>
        <v>5095.3</v>
      </c>
      <c r="AF143" s="642">
        <f>AF144+AF151</f>
        <v>5267.1</v>
      </c>
      <c r="AG143" s="205"/>
      <c r="AH143" s="205"/>
      <c r="AI143" s="147"/>
    </row>
    <row r="144" spans="1:35" x14ac:dyDescent="0.25">
      <c r="A144" s="9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451" t="s">
        <v>12</v>
      </c>
      <c r="Y144" s="452" t="s">
        <v>63</v>
      </c>
      <c r="Z144" s="453" t="s">
        <v>30</v>
      </c>
      <c r="AA144" s="453" t="s">
        <v>7</v>
      </c>
      <c r="AB144" s="541"/>
      <c r="AC144" s="482"/>
      <c r="AD144" s="669">
        <f>AD145</f>
        <v>4656.3999999999996</v>
      </c>
      <c r="AE144" s="633">
        <f>AE145</f>
        <v>5021.3</v>
      </c>
      <c r="AF144" s="643">
        <f>AF145</f>
        <v>5193.1000000000004</v>
      </c>
      <c r="AG144" s="180"/>
      <c r="AH144" s="180"/>
      <c r="AI144" s="147"/>
    </row>
    <row r="145" spans="1:35" ht="31.5" x14ac:dyDescent="0.25">
      <c r="A145" s="47"/>
      <c r="B145" s="78"/>
      <c r="C145" s="79"/>
      <c r="D145" s="79"/>
      <c r="E145" s="80"/>
      <c r="F145" s="80"/>
      <c r="G145" s="81"/>
      <c r="H145" s="81"/>
      <c r="I145" s="81"/>
      <c r="J145" s="81"/>
      <c r="K145" s="81"/>
      <c r="L145" s="73"/>
      <c r="M145" s="81"/>
      <c r="N145" s="73"/>
      <c r="O145" s="81"/>
      <c r="P145" s="81"/>
      <c r="Q145" s="83"/>
      <c r="R145" s="87"/>
      <c r="S145" s="87"/>
      <c r="T145" s="87"/>
      <c r="U145" s="87"/>
      <c r="V145" s="87"/>
      <c r="X145" s="459" t="s">
        <v>298</v>
      </c>
      <c r="Y145" s="452" t="s">
        <v>63</v>
      </c>
      <c r="Z145" s="453" t="s">
        <v>30</v>
      </c>
      <c r="AA145" s="453" t="s">
        <v>7</v>
      </c>
      <c r="AB145" s="542" t="s">
        <v>132</v>
      </c>
      <c r="AC145" s="482"/>
      <c r="AD145" s="669">
        <f t="shared" ref="AD145:AF148" si="36">AD146</f>
        <v>4656.3999999999996</v>
      </c>
      <c r="AE145" s="633">
        <f t="shared" si="36"/>
        <v>5021.3</v>
      </c>
      <c r="AF145" s="643">
        <f t="shared" si="36"/>
        <v>5193.1000000000004</v>
      </c>
      <c r="AG145" s="180"/>
      <c r="AH145" s="180"/>
      <c r="AI145" s="147"/>
    </row>
    <row r="146" spans="1:35" x14ac:dyDescent="0.25">
      <c r="A146" s="47"/>
      <c r="B146" s="78"/>
      <c r="C146" s="79"/>
      <c r="D146" s="79"/>
      <c r="E146" s="80"/>
      <c r="F146" s="80"/>
      <c r="G146" s="81"/>
      <c r="H146" s="81"/>
      <c r="I146" s="81"/>
      <c r="J146" s="81"/>
      <c r="K146" s="81"/>
      <c r="L146" s="73"/>
      <c r="M146" s="81"/>
      <c r="N146" s="73"/>
      <c r="O146" s="81"/>
      <c r="P146" s="81"/>
      <c r="Q146" s="83"/>
      <c r="R146" s="87"/>
      <c r="S146" s="87"/>
      <c r="T146" s="87"/>
      <c r="U146" s="87"/>
      <c r="V146" s="87"/>
      <c r="X146" s="459" t="s">
        <v>48</v>
      </c>
      <c r="Y146" s="452" t="s">
        <v>63</v>
      </c>
      <c r="Z146" s="453" t="s">
        <v>30</v>
      </c>
      <c r="AA146" s="453" t="s">
        <v>7</v>
      </c>
      <c r="AB146" s="542" t="s">
        <v>443</v>
      </c>
      <c r="AC146" s="482"/>
      <c r="AD146" s="669">
        <f t="shared" si="36"/>
        <v>4656.3999999999996</v>
      </c>
      <c r="AE146" s="633">
        <f t="shared" si="36"/>
        <v>5021.3</v>
      </c>
      <c r="AF146" s="643">
        <f t="shared" si="36"/>
        <v>5193.1000000000004</v>
      </c>
      <c r="AG146" s="180"/>
      <c r="AH146" s="180"/>
      <c r="AI146" s="147"/>
    </row>
    <row r="147" spans="1:35" x14ac:dyDescent="0.25">
      <c r="A147" s="47"/>
      <c r="B147" s="78"/>
      <c r="C147" s="79"/>
      <c r="D147" s="79"/>
      <c r="E147" s="80"/>
      <c r="F147" s="80"/>
      <c r="G147" s="81"/>
      <c r="H147" s="81"/>
      <c r="I147" s="81"/>
      <c r="J147" s="81"/>
      <c r="K147" s="81"/>
      <c r="L147" s="73"/>
      <c r="M147" s="81"/>
      <c r="N147" s="73"/>
      <c r="O147" s="81"/>
      <c r="P147" s="81"/>
      <c r="Q147" s="83"/>
      <c r="R147" s="87"/>
      <c r="S147" s="87"/>
      <c r="T147" s="87"/>
      <c r="U147" s="87"/>
      <c r="V147" s="87"/>
      <c r="X147" s="654" t="s">
        <v>456</v>
      </c>
      <c r="Y147" s="452" t="s">
        <v>63</v>
      </c>
      <c r="Z147" s="453" t="s">
        <v>30</v>
      </c>
      <c r="AA147" s="453" t="s">
        <v>7</v>
      </c>
      <c r="AB147" s="542" t="s">
        <v>444</v>
      </c>
      <c r="AC147" s="482"/>
      <c r="AD147" s="669">
        <f t="shared" si="36"/>
        <v>4656.3999999999996</v>
      </c>
      <c r="AE147" s="633">
        <f t="shared" si="36"/>
        <v>5021.3</v>
      </c>
      <c r="AF147" s="643">
        <f t="shared" si="36"/>
        <v>5193.1000000000004</v>
      </c>
      <c r="AG147" s="180"/>
      <c r="AH147" s="180"/>
      <c r="AI147" s="147"/>
    </row>
    <row r="148" spans="1:35" s="100" customFormat="1" ht="31.5" x14ac:dyDescent="0.25">
      <c r="A148" s="98"/>
      <c r="B148" s="69"/>
      <c r="C148" s="71"/>
      <c r="D148" s="71"/>
      <c r="E148" s="72"/>
      <c r="F148" s="99"/>
      <c r="G148" s="73"/>
      <c r="H148" s="73"/>
      <c r="I148" s="73"/>
      <c r="J148" s="73"/>
      <c r="K148" s="73"/>
      <c r="L148" s="73"/>
      <c r="M148" s="73"/>
      <c r="N148" s="73"/>
      <c r="O148" s="74"/>
      <c r="P148" s="73"/>
      <c r="Q148" s="75"/>
      <c r="R148" s="95"/>
      <c r="S148" s="95"/>
      <c r="T148" s="95"/>
      <c r="U148" s="95"/>
      <c r="V148" s="95"/>
      <c r="W148" s="99"/>
      <c r="X148" s="459" t="s">
        <v>455</v>
      </c>
      <c r="Y148" s="452" t="s">
        <v>63</v>
      </c>
      <c r="Z148" s="453" t="s">
        <v>30</v>
      </c>
      <c r="AA148" s="453" t="s">
        <v>7</v>
      </c>
      <c r="AB148" s="542" t="s">
        <v>451</v>
      </c>
      <c r="AC148" s="569"/>
      <c r="AD148" s="669">
        <f>AD149</f>
        <v>4656.3999999999996</v>
      </c>
      <c r="AE148" s="633">
        <f t="shared" si="36"/>
        <v>5021.3</v>
      </c>
      <c r="AF148" s="643">
        <f t="shared" si="36"/>
        <v>5193.1000000000004</v>
      </c>
      <c r="AG148" s="180"/>
      <c r="AH148" s="180"/>
      <c r="AI148" s="147"/>
    </row>
    <row r="149" spans="1:35" s="40" customFormat="1" ht="47.25" x14ac:dyDescent="0.25">
      <c r="A149" s="101"/>
      <c r="B149" s="78"/>
      <c r="C149" s="79"/>
      <c r="D149" s="79"/>
      <c r="E149" s="80"/>
      <c r="F149" s="102"/>
      <c r="G149" s="81"/>
      <c r="H149" s="81"/>
      <c r="I149" s="81"/>
      <c r="J149" s="81"/>
      <c r="K149" s="81"/>
      <c r="L149" s="73"/>
      <c r="M149" s="81"/>
      <c r="N149" s="73"/>
      <c r="O149" s="92"/>
      <c r="P149" s="81"/>
      <c r="Q149" s="83"/>
      <c r="R149" s="87"/>
      <c r="S149" s="87"/>
      <c r="T149" s="87"/>
      <c r="U149" s="87"/>
      <c r="V149" s="87"/>
      <c r="W149" s="102"/>
      <c r="X149" s="451" t="s">
        <v>41</v>
      </c>
      <c r="Y149" s="452" t="s">
        <v>63</v>
      </c>
      <c r="Z149" s="453" t="s">
        <v>30</v>
      </c>
      <c r="AA149" s="453" t="s">
        <v>7</v>
      </c>
      <c r="AB149" s="542" t="s">
        <v>451</v>
      </c>
      <c r="AC149" s="454">
        <v>100</v>
      </c>
      <c r="AD149" s="669">
        <f>AD150</f>
        <v>4656.3999999999996</v>
      </c>
      <c r="AE149" s="633">
        <f>AE150</f>
        <v>5021.3</v>
      </c>
      <c r="AF149" s="643">
        <f>AF150</f>
        <v>5193.1000000000004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1" t="s">
        <v>96</v>
      </c>
      <c r="Y150" s="452" t="s">
        <v>63</v>
      </c>
      <c r="Z150" s="453" t="s">
        <v>30</v>
      </c>
      <c r="AA150" s="453" t="s">
        <v>7</v>
      </c>
      <c r="AB150" s="542" t="s">
        <v>451</v>
      </c>
      <c r="AC150" s="454">
        <v>120</v>
      </c>
      <c r="AD150" s="669">
        <f>4643.4+13</f>
        <v>4656.3999999999996</v>
      </c>
      <c r="AE150" s="633">
        <v>5021.3</v>
      </c>
      <c r="AF150" s="643">
        <v>5193.1000000000004</v>
      </c>
      <c r="AG150" s="180"/>
      <c r="AH150" s="180"/>
      <c r="AI150" s="147"/>
    </row>
    <row r="151" spans="1:3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1" t="s">
        <v>47</v>
      </c>
      <c r="Y151" s="452" t="s">
        <v>63</v>
      </c>
      <c r="Z151" s="453" t="s">
        <v>30</v>
      </c>
      <c r="AA151" s="453" t="s">
        <v>49</v>
      </c>
      <c r="AB151" s="541"/>
      <c r="AC151" s="454"/>
      <c r="AD151" s="669">
        <f t="shared" ref="AD151:AF156" si="37">AD152</f>
        <v>650</v>
      </c>
      <c r="AE151" s="633">
        <f t="shared" si="37"/>
        <v>74</v>
      </c>
      <c r="AF151" s="643">
        <f t="shared" si="37"/>
        <v>74</v>
      </c>
      <c r="AG151" s="180"/>
      <c r="AH151" s="180"/>
      <c r="AI151" s="147"/>
    </row>
    <row r="152" spans="1:35" x14ac:dyDescent="0.25">
      <c r="A152" s="90"/>
      <c r="B152" s="78"/>
      <c r="C152" s="79"/>
      <c r="D152" s="79"/>
      <c r="E152" s="80"/>
      <c r="F152" s="79"/>
      <c r="G152" s="81"/>
      <c r="H152" s="102"/>
      <c r="I152" s="102"/>
      <c r="J152" s="102"/>
      <c r="K152" s="102"/>
      <c r="L152" s="73"/>
      <c r="M152" s="102"/>
      <c r="N152" s="73"/>
      <c r="O152" s="92"/>
      <c r="P152" s="81"/>
      <c r="Q152" s="83"/>
      <c r="R152" s="84"/>
      <c r="S152" s="87"/>
      <c r="T152" s="87"/>
      <c r="U152" s="87"/>
      <c r="V152" s="87"/>
      <c r="W152" s="102"/>
      <c r="X152" s="457" t="s">
        <v>186</v>
      </c>
      <c r="Y152" s="452" t="s">
        <v>63</v>
      </c>
      <c r="Z152" s="453" t="s">
        <v>30</v>
      </c>
      <c r="AA152" s="453" t="s">
        <v>49</v>
      </c>
      <c r="AB152" s="542" t="s">
        <v>112</v>
      </c>
      <c r="AC152" s="454"/>
      <c r="AD152" s="669">
        <f t="shared" si="37"/>
        <v>650</v>
      </c>
      <c r="AE152" s="633">
        <f t="shared" si="37"/>
        <v>74</v>
      </c>
      <c r="AF152" s="643">
        <f t="shared" si="37"/>
        <v>74</v>
      </c>
      <c r="AG152" s="180"/>
      <c r="AH152" s="180"/>
      <c r="AI152" s="147"/>
    </row>
    <row r="153" spans="1:35" x14ac:dyDescent="0.25">
      <c r="A153" s="90"/>
      <c r="B153" s="78"/>
      <c r="C153" s="79"/>
      <c r="D153" s="79"/>
      <c r="E153" s="80"/>
      <c r="F153" s="79"/>
      <c r="G153" s="81"/>
      <c r="H153" s="102"/>
      <c r="I153" s="102"/>
      <c r="J153" s="102"/>
      <c r="K153" s="102"/>
      <c r="L153" s="73"/>
      <c r="M153" s="102"/>
      <c r="N153" s="73"/>
      <c r="O153" s="92"/>
      <c r="P153" s="81"/>
      <c r="Q153" s="83"/>
      <c r="R153" s="84"/>
      <c r="S153" s="87"/>
      <c r="T153" s="87"/>
      <c r="U153" s="87"/>
      <c r="V153" s="87"/>
      <c r="W153" s="102"/>
      <c r="X153" s="457" t="s">
        <v>189</v>
      </c>
      <c r="Y153" s="452" t="s">
        <v>63</v>
      </c>
      <c r="Z153" s="453" t="s">
        <v>30</v>
      </c>
      <c r="AA153" s="453" t="s">
        <v>49</v>
      </c>
      <c r="AB153" s="542" t="s">
        <v>190</v>
      </c>
      <c r="AC153" s="454"/>
      <c r="AD153" s="669">
        <f t="shared" ref="AD153:AF154" si="38">AD154</f>
        <v>650</v>
      </c>
      <c r="AE153" s="633">
        <f t="shared" si="38"/>
        <v>74</v>
      </c>
      <c r="AF153" s="643">
        <f t="shared" si="38"/>
        <v>74</v>
      </c>
      <c r="AG153" s="180"/>
      <c r="AH153" s="180"/>
      <c r="AI153" s="147"/>
    </row>
    <row r="154" spans="1:35" ht="31.5" x14ac:dyDescent="0.25">
      <c r="A154" s="90"/>
      <c r="B154" s="78"/>
      <c r="C154" s="79"/>
      <c r="D154" s="79"/>
      <c r="E154" s="80"/>
      <c r="F154" s="79"/>
      <c r="G154" s="81"/>
      <c r="H154" s="102"/>
      <c r="I154" s="102"/>
      <c r="J154" s="102"/>
      <c r="K154" s="102"/>
      <c r="L154" s="73"/>
      <c r="M154" s="102"/>
      <c r="N154" s="73"/>
      <c r="O154" s="92"/>
      <c r="P154" s="81"/>
      <c r="Q154" s="83"/>
      <c r="R154" s="84"/>
      <c r="S154" s="87"/>
      <c r="T154" s="87"/>
      <c r="U154" s="87"/>
      <c r="V154" s="87"/>
      <c r="W154" s="102"/>
      <c r="X154" s="457" t="s">
        <v>191</v>
      </c>
      <c r="Y154" s="452" t="s">
        <v>63</v>
      </c>
      <c r="Z154" s="453" t="s">
        <v>30</v>
      </c>
      <c r="AA154" s="453" t="s">
        <v>49</v>
      </c>
      <c r="AB154" s="542" t="s">
        <v>192</v>
      </c>
      <c r="AC154" s="454"/>
      <c r="AD154" s="669">
        <f t="shared" si="38"/>
        <v>650</v>
      </c>
      <c r="AE154" s="633">
        <f t="shared" si="38"/>
        <v>74</v>
      </c>
      <c r="AF154" s="643">
        <f t="shared" si="38"/>
        <v>74</v>
      </c>
      <c r="AG154" s="180"/>
      <c r="AH154" s="180"/>
      <c r="AI154" s="147"/>
    </row>
    <row r="155" spans="1:35" x14ac:dyDescent="0.25">
      <c r="A155" s="89"/>
      <c r="B155" s="78"/>
      <c r="C155" s="79"/>
      <c r="D155" s="79"/>
      <c r="E155" s="80"/>
      <c r="F155" s="72"/>
      <c r="G155" s="81"/>
      <c r="H155" s="81"/>
      <c r="I155" s="81"/>
      <c r="J155" s="81"/>
      <c r="K155" s="81"/>
      <c r="L155" s="73"/>
      <c r="M155" s="81"/>
      <c r="N155" s="73"/>
      <c r="O155" s="82"/>
      <c r="P155" s="81"/>
      <c r="Q155" s="83"/>
      <c r="R155" s="87"/>
      <c r="S155" s="87"/>
      <c r="T155" s="87"/>
      <c r="U155" s="87"/>
      <c r="V155" s="87"/>
      <c r="W155" s="87"/>
      <c r="X155" s="465" t="s">
        <v>221</v>
      </c>
      <c r="Y155" s="452" t="s">
        <v>63</v>
      </c>
      <c r="Z155" s="453" t="s">
        <v>30</v>
      </c>
      <c r="AA155" s="453" t="s">
        <v>49</v>
      </c>
      <c r="AB155" s="544" t="s">
        <v>222</v>
      </c>
      <c r="AC155" s="476"/>
      <c r="AD155" s="669">
        <f t="shared" si="37"/>
        <v>650</v>
      </c>
      <c r="AE155" s="633">
        <f t="shared" si="37"/>
        <v>74</v>
      </c>
      <c r="AF155" s="643">
        <f t="shared" si="37"/>
        <v>74</v>
      </c>
      <c r="AG155" s="180"/>
      <c r="AH155" s="180"/>
      <c r="AI155" s="147"/>
    </row>
    <row r="156" spans="1:35" x14ac:dyDescent="0.25">
      <c r="A156" s="89"/>
      <c r="B156" s="78"/>
      <c r="C156" s="79"/>
      <c r="D156" s="79"/>
      <c r="E156" s="80"/>
      <c r="F156" s="72"/>
      <c r="G156" s="81"/>
      <c r="H156" s="81"/>
      <c r="I156" s="81"/>
      <c r="J156" s="81"/>
      <c r="K156" s="81"/>
      <c r="L156" s="73"/>
      <c r="M156" s="81"/>
      <c r="N156" s="73"/>
      <c r="O156" s="82"/>
      <c r="P156" s="81"/>
      <c r="Q156" s="83"/>
      <c r="R156" s="87"/>
      <c r="S156" s="87"/>
      <c r="T156" s="87"/>
      <c r="U156" s="87"/>
      <c r="V156" s="87"/>
      <c r="W156" s="87"/>
      <c r="X156" s="451" t="s">
        <v>120</v>
      </c>
      <c r="Y156" s="452" t="s">
        <v>63</v>
      </c>
      <c r="Z156" s="453" t="s">
        <v>30</v>
      </c>
      <c r="AA156" s="453" t="s">
        <v>49</v>
      </c>
      <c r="AB156" s="544" t="s">
        <v>222</v>
      </c>
      <c r="AC156" s="570">
        <v>200</v>
      </c>
      <c r="AD156" s="669">
        <f t="shared" si="37"/>
        <v>650</v>
      </c>
      <c r="AE156" s="633">
        <f t="shared" si="37"/>
        <v>74</v>
      </c>
      <c r="AF156" s="643">
        <f t="shared" si="37"/>
        <v>74</v>
      </c>
      <c r="AG156" s="180"/>
      <c r="AH156" s="180"/>
      <c r="AI156" s="147"/>
    </row>
    <row r="157" spans="1:35" ht="31.5" x14ac:dyDescent="0.25">
      <c r="A157" s="89"/>
      <c r="B157" s="78"/>
      <c r="C157" s="79"/>
      <c r="D157" s="79"/>
      <c r="E157" s="80"/>
      <c r="F157" s="72"/>
      <c r="G157" s="81"/>
      <c r="H157" s="81"/>
      <c r="I157" s="81"/>
      <c r="J157" s="81"/>
      <c r="K157" s="81"/>
      <c r="L157" s="73"/>
      <c r="M157" s="81"/>
      <c r="N157" s="73"/>
      <c r="O157" s="82"/>
      <c r="P157" s="81"/>
      <c r="Q157" s="83"/>
      <c r="R157" s="87"/>
      <c r="S157" s="87"/>
      <c r="T157" s="87"/>
      <c r="U157" s="87"/>
      <c r="V157" s="87"/>
      <c r="W157" s="87"/>
      <c r="X157" s="451" t="s">
        <v>52</v>
      </c>
      <c r="Y157" s="452" t="s">
        <v>63</v>
      </c>
      <c r="Z157" s="453" t="s">
        <v>30</v>
      </c>
      <c r="AA157" s="453" t="s">
        <v>49</v>
      </c>
      <c r="AB157" s="544" t="s">
        <v>222</v>
      </c>
      <c r="AC157" s="570">
        <v>240</v>
      </c>
      <c r="AD157" s="669">
        <v>650</v>
      </c>
      <c r="AE157" s="633">
        <v>74</v>
      </c>
      <c r="AF157" s="643">
        <v>74</v>
      </c>
      <c r="AG157" s="180"/>
      <c r="AH157" s="180"/>
      <c r="AI157" s="147"/>
    </row>
    <row r="158" spans="1:35" s="77" customFormat="1" x14ac:dyDescent="0.25">
      <c r="A158" s="68"/>
      <c r="B158" s="69"/>
      <c r="C158" s="71"/>
      <c r="D158" s="71"/>
      <c r="E158" s="72"/>
      <c r="F158" s="72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5"/>
      <c r="R158" s="95"/>
      <c r="S158" s="95"/>
      <c r="T158" s="95"/>
      <c r="U158" s="95"/>
      <c r="V158" s="95"/>
      <c r="W158" s="95"/>
      <c r="X158" s="650" t="s">
        <v>46</v>
      </c>
      <c r="Y158" s="448" t="s">
        <v>63</v>
      </c>
      <c r="Z158" s="471" t="s">
        <v>7</v>
      </c>
      <c r="AA158" s="471"/>
      <c r="AB158" s="539"/>
      <c r="AC158" s="476"/>
      <c r="AD158" s="668">
        <f>AD159+AD174+AD214</f>
        <v>51871.6</v>
      </c>
      <c r="AE158" s="632">
        <f>AE159+AE174+AE214</f>
        <v>24976.799999999999</v>
      </c>
      <c r="AF158" s="642">
        <f>AF159+AF174+AF214</f>
        <v>22943.199999999997</v>
      </c>
      <c r="AG158" s="205"/>
      <c r="AH158" s="205"/>
      <c r="AI158" s="147"/>
    </row>
    <row r="159" spans="1:35" s="103" customForma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1" t="s">
        <v>364</v>
      </c>
      <c r="Y159" s="452" t="s">
        <v>63</v>
      </c>
      <c r="Z159" s="453" t="s">
        <v>7</v>
      </c>
      <c r="AA159" s="453" t="s">
        <v>22</v>
      </c>
      <c r="AB159" s="541"/>
      <c r="AC159" s="482"/>
      <c r="AD159" s="669">
        <f t="shared" ref="AD159:AF160" si="39">AD160</f>
        <v>1278.4000000000001</v>
      </c>
      <c r="AE159" s="633">
        <f t="shared" si="39"/>
        <v>1177</v>
      </c>
      <c r="AF159" s="643">
        <f t="shared" si="39"/>
        <v>1177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7" t="s">
        <v>161</v>
      </c>
      <c r="Y160" s="452" t="s">
        <v>63</v>
      </c>
      <c r="Z160" s="453" t="s">
        <v>7</v>
      </c>
      <c r="AA160" s="453" t="s">
        <v>22</v>
      </c>
      <c r="AB160" s="541" t="s">
        <v>102</v>
      </c>
      <c r="AC160" s="482"/>
      <c r="AD160" s="669">
        <f t="shared" si="39"/>
        <v>1278.4000000000001</v>
      </c>
      <c r="AE160" s="633">
        <f t="shared" si="39"/>
        <v>1177</v>
      </c>
      <c r="AF160" s="643">
        <f t="shared" si="39"/>
        <v>1177</v>
      </c>
      <c r="AG160" s="180"/>
      <c r="AH160" s="180"/>
      <c r="AI160" s="147"/>
    </row>
    <row r="161" spans="1:35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7" t="s">
        <v>582</v>
      </c>
      <c r="Y161" s="452" t="s">
        <v>63</v>
      </c>
      <c r="Z161" s="453" t="s">
        <v>7</v>
      </c>
      <c r="AA161" s="453" t="s">
        <v>22</v>
      </c>
      <c r="AB161" s="542" t="s">
        <v>103</v>
      </c>
      <c r="AC161" s="482"/>
      <c r="AD161" s="669">
        <f>AD162+AD170</f>
        <v>1278.4000000000001</v>
      </c>
      <c r="AE161" s="633">
        <f>AE162+AE170</f>
        <v>1177</v>
      </c>
      <c r="AF161" s="643">
        <f>AF162+AF170</f>
        <v>1177</v>
      </c>
      <c r="AG161" s="180"/>
      <c r="AH161" s="180"/>
      <c r="AI161" s="147"/>
    </row>
    <row r="162" spans="1:35" s="103" customFormat="1" ht="78.7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66" t="s">
        <v>584</v>
      </c>
      <c r="Y162" s="452" t="s">
        <v>63</v>
      </c>
      <c r="Z162" s="453" t="s">
        <v>7</v>
      </c>
      <c r="AA162" s="453" t="s">
        <v>22</v>
      </c>
      <c r="AB162" s="542" t="s">
        <v>124</v>
      </c>
      <c r="AC162" s="482"/>
      <c r="AD162" s="669">
        <f>AD163+AD166</f>
        <v>828.4</v>
      </c>
      <c r="AE162" s="633">
        <f>AE163+AE166</f>
        <v>727</v>
      </c>
      <c r="AF162" s="643">
        <f>AF163+AF166</f>
        <v>727</v>
      </c>
      <c r="AG162" s="180"/>
      <c r="AH162" s="180"/>
      <c r="AI162" s="147"/>
    </row>
    <row r="163" spans="1:35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66" t="s">
        <v>174</v>
      </c>
      <c r="Y163" s="452" t="s">
        <v>63</v>
      </c>
      <c r="Z163" s="453" t="s">
        <v>7</v>
      </c>
      <c r="AA163" s="453" t="s">
        <v>22</v>
      </c>
      <c r="AB163" s="542" t="s">
        <v>175</v>
      </c>
      <c r="AC163" s="482"/>
      <c r="AD163" s="669">
        <f t="shared" ref="AD163:AF164" si="40">AD164</f>
        <v>728.4</v>
      </c>
      <c r="AE163" s="633">
        <f t="shared" si="40"/>
        <v>727</v>
      </c>
      <c r="AF163" s="643">
        <f t="shared" si="40"/>
        <v>727</v>
      </c>
      <c r="AG163" s="180"/>
      <c r="AH163" s="180"/>
      <c r="AI163" s="147"/>
    </row>
    <row r="164" spans="1:35" s="103" customFormat="1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51" t="s">
        <v>120</v>
      </c>
      <c r="Y164" s="452" t="s">
        <v>63</v>
      </c>
      <c r="Z164" s="453" t="s">
        <v>7</v>
      </c>
      <c r="AA164" s="453" t="s">
        <v>22</v>
      </c>
      <c r="AB164" s="542" t="s">
        <v>175</v>
      </c>
      <c r="AC164" s="482">
        <v>200</v>
      </c>
      <c r="AD164" s="669">
        <f t="shared" si="40"/>
        <v>728.4</v>
      </c>
      <c r="AE164" s="633">
        <f t="shared" si="40"/>
        <v>727</v>
      </c>
      <c r="AF164" s="643">
        <f t="shared" si="40"/>
        <v>727</v>
      </c>
      <c r="AG164" s="180"/>
      <c r="AH164" s="180"/>
      <c r="AI164" s="147"/>
    </row>
    <row r="165" spans="1:35" s="103" customFormat="1" ht="31.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51" t="s">
        <v>52</v>
      </c>
      <c r="Y165" s="452" t="s">
        <v>63</v>
      </c>
      <c r="Z165" s="453" t="s">
        <v>7</v>
      </c>
      <c r="AA165" s="453" t="s">
        <v>22</v>
      </c>
      <c r="AB165" s="542" t="s">
        <v>175</v>
      </c>
      <c r="AC165" s="482">
        <v>240</v>
      </c>
      <c r="AD165" s="669">
        <f>727+1.4</f>
        <v>728.4</v>
      </c>
      <c r="AE165" s="633">
        <v>727</v>
      </c>
      <c r="AF165" s="643">
        <v>727</v>
      </c>
      <c r="AG165" s="180"/>
      <c r="AH165" s="180"/>
      <c r="AI165" s="147"/>
    </row>
    <row r="166" spans="1:35" s="500" customFormat="1" ht="47.2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677</v>
      </c>
      <c r="Y166" s="452" t="s">
        <v>63</v>
      </c>
      <c r="Z166" s="453" t="s">
        <v>7</v>
      </c>
      <c r="AA166" s="453" t="s">
        <v>22</v>
      </c>
      <c r="AB166" s="542" t="s">
        <v>726</v>
      </c>
      <c r="AC166" s="482"/>
      <c r="AD166" s="669">
        <f>AD167</f>
        <v>100</v>
      </c>
      <c r="AE166" s="633">
        <f t="shared" ref="AE166:AF166" si="41">AE167</f>
        <v>0</v>
      </c>
      <c r="AF166" s="643">
        <f t="shared" si="41"/>
        <v>0</v>
      </c>
      <c r="AG166" s="506"/>
      <c r="AH166" s="506"/>
      <c r="AI166" s="502"/>
    </row>
    <row r="167" spans="1:35" s="500" customFormat="1" ht="31.5" x14ac:dyDescent="0.25">
      <c r="A167" s="93"/>
      <c r="B167" s="493"/>
      <c r="C167" s="494"/>
      <c r="D167" s="494"/>
      <c r="E167" s="495"/>
      <c r="F167" s="495"/>
      <c r="G167" s="496"/>
      <c r="H167" s="496"/>
      <c r="I167" s="496"/>
      <c r="J167" s="496"/>
      <c r="K167" s="496"/>
      <c r="L167" s="492"/>
      <c r="M167" s="496"/>
      <c r="N167" s="492"/>
      <c r="O167" s="496"/>
      <c r="P167" s="496"/>
      <c r="Q167" s="497"/>
      <c r="R167" s="498"/>
      <c r="S167" s="498"/>
      <c r="T167" s="498"/>
      <c r="U167" s="498"/>
      <c r="V167" s="498"/>
      <c r="W167" s="498"/>
      <c r="X167" s="451" t="s">
        <v>678</v>
      </c>
      <c r="Y167" s="452" t="s">
        <v>63</v>
      </c>
      <c r="Z167" s="453" t="s">
        <v>7</v>
      </c>
      <c r="AA167" s="453" t="s">
        <v>22</v>
      </c>
      <c r="AB167" s="542" t="s">
        <v>679</v>
      </c>
      <c r="AC167" s="482"/>
      <c r="AD167" s="669">
        <f>AD168</f>
        <v>100</v>
      </c>
      <c r="AE167" s="633">
        <f t="shared" ref="AE167:AF167" si="42">AE168</f>
        <v>0</v>
      </c>
      <c r="AF167" s="643">
        <f t="shared" si="42"/>
        <v>0</v>
      </c>
      <c r="AG167" s="506"/>
      <c r="AH167" s="506"/>
      <c r="AI167" s="502"/>
    </row>
    <row r="168" spans="1:35" s="500" customFormat="1" x14ac:dyDescent="0.25">
      <c r="A168" s="93"/>
      <c r="B168" s="493"/>
      <c r="C168" s="494"/>
      <c r="D168" s="494"/>
      <c r="E168" s="495"/>
      <c r="F168" s="495"/>
      <c r="G168" s="496"/>
      <c r="H168" s="496"/>
      <c r="I168" s="496"/>
      <c r="J168" s="496"/>
      <c r="K168" s="496"/>
      <c r="L168" s="492"/>
      <c r="M168" s="496"/>
      <c r="N168" s="492"/>
      <c r="O168" s="496"/>
      <c r="P168" s="496"/>
      <c r="Q168" s="497"/>
      <c r="R168" s="498"/>
      <c r="S168" s="498"/>
      <c r="T168" s="498"/>
      <c r="U168" s="498"/>
      <c r="V168" s="498"/>
      <c r="W168" s="498"/>
      <c r="X168" s="451" t="s">
        <v>120</v>
      </c>
      <c r="Y168" s="452" t="s">
        <v>63</v>
      </c>
      <c r="Z168" s="453" t="s">
        <v>7</v>
      </c>
      <c r="AA168" s="453" t="s">
        <v>22</v>
      </c>
      <c r="AB168" s="542" t="s">
        <v>679</v>
      </c>
      <c r="AC168" s="482">
        <v>200</v>
      </c>
      <c r="AD168" s="669">
        <f>AD169</f>
        <v>100</v>
      </c>
      <c r="AE168" s="633">
        <f t="shared" ref="AE168:AF168" si="43">AE169</f>
        <v>0</v>
      </c>
      <c r="AF168" s="643">
        <f t="shared" si="43"/>
        <v>0</v>
      </c>
      <c r="AG168" s="506"/>
      <c r="AH168" s="506"/>
      <c r="AI168" s="502"/>
    </row>
    <row r="169" spans="1:35" s="500" customFormat="1" ht="31.5" x14ac:dyDescent="0.25">
      <c r="A169" s="93"/>
      <c r="B169" s="493"/>
      <c r="C169" s="494"/>
      <c r="D169" s="494"/>
      <c r="E169" s="495"/>
      <c r="F169" s="495"/>
      <c r="G169" s="496"/>
      <c r="H169" s="496"/>
      <c r="I169" s="496"/>
      <c r="J169" s="496"/>
      <c r="K169" s="496"/>
      <c r="L169" s="492"/>
      <c r="M169" s="496"/>
      <c r="N169" s="492"/>
      <c r="O169" s="496"/>
      <c r="P169" s="496"/>
      <c r="Q169" s="497"/>
      <c r="R169" s="498"/>
      <c r="S169" s="498"/>
      <c r="T169" s="498"/>
      <c r="U169" s="498"/>
      <c r="V169" s="498"/>
      <c r="W169" s="498"/>
      <c r="X169" s="451" t="s">
        <v>52</v>
      </c>
      <c r="Y169" s="452" t="s">
        <v>63</v>
      </c>
      <c r="Z169" s="453" t="s">
        <v>7</v>
      </c>
      <c r="AA169" s="453" t="s">
        <v>22</v>
      </c>
      <c r="AB169" s="542" t="s">
        <v>679</v>
      </c>
      <c r="AC169" s="482">
        <v>240</v>
      </c>
      <c r="AD169" s="669">
        <v>100</v>
      </c>
      <c r="AE169" s="633">
        <v>0</v>
      </c>
      <c r="AF169" s="643">
        <v>0</v>
      </c>
      <c r="AG169" s="506"/>
      <c r="AH169" s="506"/>
      <c r="AI169" s="502"/>
    </row>
    <row r="170" spans="1:35" s="103" customFormat="1" ht="47.2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66" t="s">
        <v>558</v>
      </c>
      <c r="Y170" s="452" t="s">
        <v>63</v>
      </c>
      <c r="Z170" s="453" t="s">
        <v>7</v>
      </c>
      <c r="AA170" s="453" t="s">
        <v>22</v>
      </c>
      <c r="AB170" s="542" t="s">
        <v>557</v>
      </c>
      <c r="AC170" s="473"/>
      <c r="AD170" s="669">
        <f>AD171</f>
        <v>450</v>
      </c>
      <c r="AE170" s="633">
        <f>AE171</f>
        <v>450</v>
      </c>
      <c r="AF170" s="643">
        <f>AF171</f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65" t="s">
        <v>559</v>
      </c>
      <c r="Y171" s="452" t="s">
        <v>63</v>
      </c>
      <c r="Z171" s="453" t="s">
        <v>7</v>
      </c>
      <c r="AA171" s="453" t="s">
        <v>22</v>
      </c>
      <c r="AB171" s="542" t="s">
        <v>560</v>
      </c>
      <c r="AC171" s="473"/>
      <c r="AD171" s="669">
        <f t="shared" ref="AD171:AF172" si="44">AD172</f>
        <v>450</v>
      </c>
      <c r="AE171" s="633">
        <f t="shared" si="44"/>
        <v>450</v>
      </c>
      <c r="AF171" s="643">
        <f t="shared" si="44"/>
        <v>450</v>
      </c>
      <c r="AG171" s="180"/>
      <c r="AH171" s="180"/>
      <c r="AI171" s="147"/>
    </row>
    <row r="172" spans="1:35" s="103" customFormat="1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1" t="s">
        <v>120</v>
      </c>
      <c r="Y172" s="452" t="s">
        <v>63</v>
      </c>
      <c r="Z172" s="453" t="s">
        <v>7</v>
      </c>
      <c r="AA172" s="453" t="s">
        <v>22</v>
      </c>
      <c r="AB172" s="542" t="s">
        <v>560</v>
      </c>
      <c r="AC172" s="473" t="s">
        <v>37</v>
      </c>
      <c r="AD172" s="669">
        <f t="shared" si="44"/>
        <v>450</v>
      </c>
      <c r="AE172" s="633">
        <f t="shared" si="44"/>
        <v>450</v>
      </c>
      <c r="AF172" s="643">
        <f t="shared" si="44"/>
        <v>450</v>
      </c>
      <c r="AG172" s="180"/>
      <c r="AH172" s="180"/>
      <c r="AI172" s="147"/>
    </row>
    <row r="173" spans="1:35" s="103" customFormat="1" ht="31.5" x14ac:dyDescent="0.25">
      <c r="A173" s="93"/>
      <c r="B173" s="78"/>
      <c r="C173" s="79"/>
      <c r="D173" s="79"/>
      <c r="E173" s="80"/>
      <c r="F173" s="80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451" t="s">
        <v>52</v>
      </c>
      <c r="Y173" s="452" t="s">
        <v>63</v>
      </c>
      <c r="Z173" s="453" t="s">
        <v>7</v>
      </c>
      <c r="AA173" s="453" t="s">
        <v>22</v>
      </c>
      <c r="AB173" s="542" t="s">
        <v>560</v>
      </c>
      <c r="AC173" s="473" t="s">
        <v>65</v>
      </c>
      <c r="AD173" s="669">
        <f>450+100-100</f>
        <v>450</v>
      </c>
      <c r="AE173" s="633">
        <v>450</v>
      </c>
      <c r="AF173" s="643">
        <v>450</v>
      </c>
      <c r="AG173" s="180"/>
      <c r="AH173" s="180"/>
      <c r="AI173" s="147"/>
    </row>
    <row r="174" spans="1:35" s="103" customFormat="1" ht="31.5" x14ac:dyDescent="0.25">
      <c r="A174" s="93"/>
      <c r="B174" s="78"/>
      <c r="C174" s="79"/>
      <c r="D174" s="79"/>
      <c r="E174" s="80"/>
      <c r="F174" s="80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51" t="s">
        <v>365</v>
      </c>
      <c r="Y174" s="452" t="s">
        <v>63</v>
      </c>
      <c r="Z174" s="453" t="s">
        <v>7</v>
      </c>
      <c r="AA174" s="453" t="s">
        <v>36</v>
      </c>
      <c r="AB174" s="541"/>
      <c r="AC174" s="482"/>
      <c r="AD174" s="669">
        <f>AD175+AD208</f>
        <v>29249.399999999998</v>
      </c>
      <c r="AE174" s="669">
        <f t="shared" ref="AE174:AF174" si="45">AE175+AE208</f>
        <v>11681</v>
      </c>
      <c r="AF174" s="669">
        <f t="shared" si="45"/>
        <v>11717</v>
      </c>
      <c r="AG174" s="180"/>
      <c r="AH174" s="180"/>
      <c r="AI174" s="147"/>
    </row>
    <row r="175" spans="1:35" s="103" customFormat="1" ht="31.5" x14ac:dyDescent="0.25">
      <c r="A175" s="93"/>
      <c r="B175" s="78"/>
      <c r="C175" s="79"/>
      <c r="D175" s="79"/>
      <c r="E175" s="80"/>
      <c r="F175" s="80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57" t="s">
        <v>161</v>
      </c>
      <c r="Y175" s="452" t="s">
        <v>63</v>
      </c>
      <c r="Z175" s="453" t="s">
        <v>7</v>
      </c>
      <c r="AA175" s="453" t="s">
        <v>36</v>
      </c>
      <c r="AB175" s="541" t="s">
        <v>102</v>
      </c>
      <c r="AC175" s="482"/>
      <c r="AD175" s="669">
        <f>AD176+AD187+AD201+AD194</f>
        <v>29239.399999999998</v>
      </c>
      <c r="AE175" s="633">
        <f>AE176+AE187+AE201+AE194</f>
        <v>11681</v>
      </c>
      <c r="AF175" s="643">
        <f>AF176+AF187+AF201+AF194</f>
        <v>11717</v>
      </c>
      <c r="AG175" s="180"/>
      <c r="AH175" s="180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457" t="s">
        <v>720</v>
      </c>
      <c r="Y176" s="452" t="s">
        <v>63</v>
      </c>
      <c r="Z176" s="453" t="s">
        <v>7</v>
      </c>
      <c r="AA176" s="453" t="s">
        <v>36</v>
      </c>
      <c r="AB176" s="542" t="s">
        <v>107</v>
      </c>
      <c r="AC176" s="473"/>
      <c r="AD176" s="669">
        <f>AD177+AD181</f>
        <v>467</v>
      </c>
      <c r="AE176" s="633">
        <f>AE177+AE181</f>
        <v>567</v>
      </c>
      <c r="AF176" s="643">
        <f>AF177+AF181</f>
        <v>567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277" t="s">
        <v>721</v>
      </c>
      <c r="Y177" s="452" t="s">
        <v>63</v>
      </c>
      <c r="Z177" s="453" t="s">
        <v>7</v>
      </c>
      <c r="AA177" s="453" t="s">
        <v>36</v>
      </c>
      <c r="AB177" s="542" t="s">
        <v>171</v>
      </c>
      <c r="AC177" s="473"/>
      <c r="AD177" s="669">
        <f t="shared" ref="AD177:AF179" si="46">AD178</f>
        <v>340</v>
      </c>
      <c r="AE177" s="633">
        <f t="shared" si="46"/>
        <v>340</v>
      </c>
      <c r="AF177" s="643">
        <f t="shared" si="46"/>
        <v>340</v>
      </c>
      <c r="AG177" s="180"/>
      <c r="AH177" s="180"/>
      <c r="AI177" s="147"/>
    </row>
    <row r="178" spans="1:35" s="103" customFormat="1" ht="31.5" x14ac:dyDescent="0.25">
      <c r="A178" s="47"/>
      <c r="B178" s="78"/>
      <c r="C178" s="79"/>
      <c r="D178" s="79"/>
      <c r="E178" s="80"/>
      <c r="F178" s="104"/>
      <c r="G178" s="81"/>
      <c r="H178" s="105"/>
      <c r="I178" s="49"/>
      <c r="J178" s="49"/>
      <c r="K178" s="49"/>
      <c r="L178" s="81"/>
      <c r="M178" s="49"/>
      <c r="N178" s="81"/>
      <c r="O178" s="82"/>
      <c r="P178" s="81"/>
      <c r="Q178" s="83"/>
      <c r="R178" s="87"/>
      <c r="S178" s="87"/>
      <c r="T178" s="87"/>
      <c r="U178" s="87"/>
      <c r="V178" s="87"/>
      <c r="W178" s="87"/>
      <c r="X178" s="466" t="s">
        <v>751</v>
      </c>
      <c r="Y178" s="452" t="s">
        <v>63</v>
      </c>
      <c r="Z178" s="453" t="s">
        <v>7</v>
      </c>
      <c r="AA178" s="453" t="s">
        <v>36</v>
      </c>
      <c r="AB178" s="542" t="s">
        <v>554</v>
      </c>
      <c r="AC178" s="473"/>
      <c r="AD178" s="669">
        <f t="shared" si="46"/>
        <v>340</v>
      </c>
      <c r="AE178" s="633">
        <f t="shared" si="46"/>
        <v>340</v>
      </c>
      <c r="AF178" s="643">
        <f t="shared" si="46"/>
        <v>340</v>
      </c>
      <c r="AG178" s="180"/>
      <c r="AH178" s="180"/>
      <c r="AI178" s="147"/>
    </row>
    <row r="179" spans="1:35" s="103" customFormat="1" x14ac:dyDescent="0.25">
      <c r="A179" s="47"/>
      <c r="B179" s="78"/>
      <c r="C179" s="79"/>
      <c r="D179" s="79"/>
      <c r="E179" s="80"/>
      <c r="F179" s="104"/>
      <c r="G179" s="81"/>
      <c r="H179" s="105"/>
      <c r="I179" s="49"/>
      <c r="J179" s="49"/>
      <c r="K179" s="49"/>
      <c r="L179" s="81"/>
      <c r="M179" s="49"/>
      <c r="N179" s="81"/>
      <c r="O179" s="82"/>
      <c r="P179" s="81"/>
      <c r="Q179" s="83"/>
      <c r="R179" s="87"/>
      <c r="S179" s="87"/>
      <c r="T179" s="87"/>
      <c r="U179" s="87"/>
      <c r="V179" s="87"/>
      <c r="W179" s="87"/>
      <c r="X179" s="651" t="s">
        <v>120</v>
      </c>
      <c r="Y179" s="467" t="s">
        <v>63</v>
      </c>
      <c r="Z179" s="453" t="s">
        <v>7</v>
      </c>
      <c r="AA179" s="453" t="s">
        <v>36</v>
      </c>
      <c r="AB179" s="542" t="s">
        <v>554</v>
      </c>
      <c r="AC179" s="571" t="s">
        <v>37</v>
      </c>
      <c r="AD179" s="669">
        <f t="shared" si="46"/>
        <v>340</v>
      </c>
      <c r="AE179" s="633">
        <f t="shared" si="46"/>
        <v>340</v>
      </c>
      <c r="AF179" s="643">
        <f t="shared" si="46"/>
        <v>340</v>
      </c>
      <c r="AG179" s="180"/>
      <c r="AH179" s="180"/>
      <c r="AI179" s="147"/>
    </row>
    <row r="180" spans="1:35" s="103" customFormat="1" ht="31.5" x14ac:dyDescent="0.25">
      <c r="A180" s="47"/>
      <c r="B180" s="78"/>
      <c r="C180" s="79"/>
      <c r="D180" s="79"/>
      <c r="E180" s="80"/>
      <c r="F180" s="104"/>
      <c r="G180" s="81"/>
      <c r="H180" s="105"/>
      <c r="I180" s="49"/>
      <c r="J180" s="49"/>
      <c r="K180" s="49"/>
      <c r="L180" s="81"/>
      <c r="M180" s="49"/>
      <c r="N180" s="81"/>
      <c r="O180" s="82"/>
      <c r="P180" s="81"/>
      <c r="Q180" s="83"/>
      <c r="R180" s="87"/>
      <c r="S180" s="87"/>
      <c r="T180" s="87"/>
      <c r="U180" s="87"/>
      <c r="V180" s="87"/>
      <c r="W180" s="87"/>
      <c r="X180" s="651" t="s">
        <v>52</v>
      </c>
      <c r="Y180" s="467" t="s">
        <v>63</v>
      </c>
      <c r="Z180" s="453" t="s">
        <v>7</v>
      </c>
      <c r="AA180" s="453" t="s">
        <v>36</v>
      </c>
      <c r="AB180" s="542" t="s">
        <v>554</v>
      </c>
      <c r="AC180" s="571" t="s">
        <v>65</v>
      </c>
      <c r="AD180" s="669">
        <v>340</v>
      </c>
      <c r="AE180" s="633">
        <v>340</v>
      </c>
      <c r="AF180" s="643">
        <v>340</v>
      </c>
      <c r="AG180" s="180"/>
      <c r="AH180" s="180"/>
      <c r="AI180" s="147"/>
    </row>
    <row r="181" spans="1:35" s="305" customFormat="1" ht="47.2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723</v>
      </c>
      <c r="Y181" s="467" t="s">
        <v>63</v>
      </c>
      <c r="Z181" s="453" t="s">
        <v>7</v>
      </c>
      <c r="AA181" s="453" t="s">
        <v>36</v>
      </c>
      <c r="AB181" s="542" t="s">
        <v>555</v>
      </c>
      <c r="AC181" s="473"/>
      <c r="AD181" s="669">
        <f t="shared" ref="AD181:AF183" si="47">AD182</f>
        <v>127</v>
      </c>
      <c r="AE181" s="633">
        <f t="shared" si="47"/>
        <v>227</v>
      </c>
      <c r="AF181" s="643">
        <f t="shared" si="47"/>
        <v>227</v>
      </c>
      <c r="AG181" s="303"/>
      <c r="AH181" s="303"/>
      <c r="AI181" s="304"/>
    </row>
    <row r="182" spans="1:35" s="305" customFormat="1" ht="35.25" customHeight="1" x14ac:dyDescent="0.25">
      <c r="A182" s="292"/>
      <c r="B182" s="293"/>
      <c r="C182" s="294"/>
      <c r="D182" s="294"/>
      <c r="E182" s="295"/>
      <c r="F182" s="296"/>
      <c r="G182" s="297"/>
      <c r="H182" s="298"/>
      <c r="I182" s="299"/>
      <c r="J182" s="299"/>
      <c r="K182" s="299"/>
      <c r="L182" s="297"/>
      <c r="M182" s="299"/>
      <c r="N182" s="297"/>
      <c r="O182" s="300"/>
      <c r="P182" s="297"/>
      <c r="Q182" s="301"/>
      <c r="R182" s="302"/>
      <c r="S182" s="302"/>
      <c r="T182" s="302"/>
      <c r="U182" s="302"/>
      <c r="V182" s="302"/>
      <c r="W182" s="302"/>
      <c r="X182" s="451" t="s">
        <v>751</v>
      </c>
      <c r="Y182" s="467" t="s">
        <v>63</v>
      </c>
      <c r="Z182" s="453" t="s">
        <v>7</v>
      </c>
      <c r="AA182" s="453" t="s">
        <v>36</v>
      </c>
      <c r="AB182" s="542" t="s">
        <v>556</v>
      </c>
      <c r="AC182" s="473"/>
      <c r="AD182" s="669">
        <f>AD183+AD185</f>
        <v>127</v>
      </c>
      <c r="AE182" s="669">
        <f t="shared" ref="AE182:AF182" si="48">AE183+AE185</f>
        <v>227</v>
      </c>
      <c r="AF182" s="669">
        <f t="shared" si="48"/>
        <v>227</v>
      </c>
      <c r="AG182" s="303"/>
      <c r="AH182" s="303"/>
      <c r="AI182" s="304"/>
    </row>
    <row r="183" spans="1:35" s="305" customFormat="1" x14ac:dyDescent="0.25">
      <c r="A183" s="292"/>
      <c r="B183" s="293"/>
      <c r="C183" s="294"/>
      <c r="D183" s="294"/>
      <c r="E183" s="295"/>
      <c r="F183" s="296"/>
      <c r="G183" s="297"/>
      <c r="H183" s="298"/>
      <c r="I183" s="299"/>
      <c r="J183" s="299"/>
      <c r="K183" s="299"/>
      <c r="L183" s="297"/>
      <c r="M183" s="299"/>
      <c r="N183" s="297"/>
      <c r="O183" s="300"/>
      <c r="P183" s="297"/>
      <c r="Q183" s="301"/>
      <c r="R183" s="302"/>
      <c r="S183" s="302"/>
      <c r="T183" s="302"/>
      <c r="U183" s="302"/>
      <c r="V183" s="302"/>
      <c r="W183" s="302"/>
      <c r="X183" s="451" t="s">
        <v>120</v>
      </c>
      <c r="Y183" s="467" t="s">
        <v>63</v>
      </c>
      <c r="Z183" s="453" t="s">
        <v>7</v>
      </c>
      <c r="AA183" s="453" t="s">
        <v>36</v>
      </c>
      <c r="AB183" s="542" t="s">
        <v>556</v>
      </c>
      <c r="AC183" s="473" t="s">
        <v>37</v>
      </c>
      <c r="AD183" s="669">
        <f t="shared" si="47"/>
        <v>52</v>
      </c>
      <c r="AE183" s="633">
        <f t="shared" si="47"/>
        <v>227</v>
      </c>
      <c r="AF183" s="643">
        <f t="shared" si="47"/>
        <v>227</v>
      </c>
      <c r="AG183" s="303"/>
      <c r="AH183" s="303"/>
      <c r="AI183" s="304"/>
    </row>
    <row r="184" spans="1:35" s="305" customFormat="1" ht="31.5" x14ac:dyDescent="0.25">
      <c r="A184" s="292"/>
      <c r="B184" s="293"/>
      <c r="C184" s="294"/>
      <c r="D184" s="294"/>
      <c r="E184" s="295"/>
      <c r="F184" s="296"/>
      <c r="G184" s="297"/>
      <c r="H184" s="298"/>
      <c r="I184" s="299"/>
      <c r="J184" s="299"/>
      <c r="K184" s="299"/>
      <c r="L184" s="297"/>
      <c r="M184" s="299"/>
      <c r="N184" s="297"/>
      <c r="O184" s="300"/>
      <c r="P184" s="297"/>
      <c r="Q184" s="301"/>
      <c r="R184" s="302"/>
      <c r="S184" s="302"/>
      <c r="T184" s="302"/>
      <c r="U184" s="302"/>
      <c r="V184" s="302"/>
      <c r="W184" s="302"/>
      <c r="X184" s="451" t="s">
        <v>52</v>
      </c>
      <c r="Y184" s="467" t="s">
        <v>63</v>
      </c>
      <c r="Z184" s="453" t="s">
        <v>7</v>
      </c>
      <c r="AA184" s="453" t="s">
        <v>36</v>
      </c>
      <c r="AB184" s="542" t="s">
        <v>556</v>
      </c>
      <c r="AC184" s="473" t="s">
        <v>65</v>
      </c>
      <c r="AD184" s="669">
        <f>227-100-75</f>
        <v>52</v>
      </c>
      <c r="AE184" s="633">
        <v>227</v>
      </c>
      <c r="AF184" s="643">
        <v>227</v>
      </c>
      <c r="AG184" s="303"/>
      <c r="AH184" s="303"/>
      <c r="AI184" s="304"/>
    </row>
    <row r="185" spans="1:35" s="305" customFormat="1" ht="31.5" x14ac:dyDescent="0.25">
      <c r="A185" s="292"/>
      <c r="B185" s="293"/>
      <c r="C185" s="294"/>
      <c r="D185" s="294"/>
      <c r="E185" s="295"/>
      <c r="F185" s="296"/>
      <c r="G185" s="297"/>
      <c r="H185" s="298"/>
      <c r="I185" s="299"/>
      <c r="J185" s="299"/>
      <c r="K185" s="299"/>
      <c r="L185" s="297"/>
      <c r="M185" s="299"/>
      <c r="N185" s="297"/>
      <c r="O185" s="300"/>
      <c r="P185" s="297"/>
      <c r="Q185" s="301"/>
      <c r="R185" s="302"/>
      <c r="S185" s="302"/>
      <c r="T185" s="302"/>
      <c r="U185" s="302"/>
      <c r="V185" s="302"/>
      <c r="W185" s="302"/>
      <c r="X185" s="451" t="s">
        <v>60</v>
      </c>
      <c r="Y185" s="467" t="s">
        <v>63</v>
      </c>
      <c r="Z185" s="453" t="s">
        <v>7</v>
      </c>
      <c r="AA185" s="453" t="s">
        <v>36</v>
      </c>
      <c r="AB185" s="542" t="s">
        <v>556</v>
      </c>
      <c r="AC185" s="473" t="s">
        <v>386</v>
      </c>
      <c r="AD185" s="669">
        <f>AD186</f>
        <v>75</v>
      </c>
      <c r="AE185" s="669">
        <f t="shared" ref="AE185:AF185" si="49">AE186</f>
        <v>0</v>
      </c>
      <c r="AF185" s="669">
        <f t="shared" si="49"/>
        <v>0</v>
      </c>
      <c r="AG185" s="303"/>
      <c r="AH185" s="303"/>
      <c r="AI185" s="304"/>
    </row>
    <row r="186" spans="1:35" s="305" customFormat="1" x14ac:dyDescent="0.25">
      <c r="A186" s="292"/>
      <c r="B186" s="293"/>
      <c r="C186" s="294"/>
      <c r="D186" s="294"/>
      <c r="E186" s="295"/>
      <c r="F186" s="296"/>
      <c r="G186" s="297"/>
      <c r="H186" s="298"/>
      <c r="I186" s="299"/>
      <c r="J186" s="299"/>
      <c r="K186" s="299"/>
      <c r="L186" s="297"/>
      <c r="M186" s="299"/>
      <c r="N186" s="297"/>
      <c r="O186" s="300"/>
      <c r="P186" s="297"/>
      <c r="Q186" s="301"/>
      <c r="R186" s="302"/>
      <c r="S186" s="302"/>
      <c r="T186" s="302"/>
      <c r="U186" s="302"/>
      <c r="V186" s="302"/>
      <c r="W186" s="302"/>
      <c r="X186" s="451" t="s">
        <v>61</v>
      </c>
      <c r="Y186" s="467" t="s">
        <v>63</v>
      </c>
      <c r="Z186" s="453" t="s">
        <v>7</v>
      </c>
      <c r="AA186" s="453" t="s">
        <v>36</v>
      </c>
      <c r="AB186" s="542" t="s">
        <v>556</v>
      </c>
      <c r="AC186" s="473" t="s">
        <v>387</v>
      </c>
      <c r="AD186" s="669">
        <v>75</v>
      </c>
      <c r="AE186" s="633">
        <v>0</v>
      </c>
      <c r="AF186" s="643">
        <v>0</v>
      </c>
      <c r="AG186" s="303"/>
      <c r="AH186" s="303"/>
      <c r="AI186" s="304"/>
    </row>
    <row r="187" spans="1:35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57" t="s">
        <v>356</v>
      </c>
      <c r="Y187" s="452" t="s">
        <v>63</v>
      </c>
      <c r="Z187" s="453" t="s">
        <v>7</v>
      </c>
      <c r="AA187" s="453" t="s">
        <v>36</v>
      </c>
      <c r="AB187" s="542" t="s">
        <v>104</v>
      </c>
      <c r="AC187" s="454"/>
      <c r="AD187" s="669">
        <f t="shared" ref="AD187:AF188" si="50">AD188</f>
        <v>670.6</v>
      </c>
      <c r="AE187" s="633">
        <f t="shared" si="50"/>
        <v>694</v>
      </c>
      <c r="AF187" s="643">
        <f t="shared" si="50"/>
        <v>694</v>
      </c>
      <c r="AG187" s="180"/>
      <c r="AH187" s="180"/>
      <c r="AI187" s="147"/>
    </row>
    <row r="188" spans="1:35" s="103" customFormat="1" ht="31.5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66" t="s">
        <v>561</v>
      </c>
      <c r="Y188" s="452" t="s">
        <v>63</v>
      </c>
      <c r="Z188" s="453" t="s">
        <v>7</v>
      </c>
      <c r="AA188" s="453" t="s">
        <v>36</v>
      </c>
      <c r="AB188" s="542" t="s">
        <v>125</v>
      </c>
      <c r="AC188" s="473"/>
      <c r="AD188" s="669">
        <f t="shared" si="50"/>
        <v>670.6</v>
      </c>
      <c r="AE188" s="633">
        <f t="shared" si="50"/>
        <v>694</v>
      </c>
      <c r="AF188" s="643">
        <f t="shared" si="50"/>
        <v>694</v>
      </c>
      <c r="AG188" s="180"/>
      <c r="AH188" s="180"/>
      <c r="AI188" s="147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752</v>
      </c>
      <c r="Y189" s="452" t="s">
        <v>63</v>
      </c>
      <c r="Z189" s="453" t="s">
        <v>7</v>
      </c>
      <c r="AA189" s="453" t="s">
        <v>36</v>
      </c>
      <c r="AB189" s="542" t="s">
        <v>173</v>
      </c>
      <c r="AC189" s="454"/>
      <c r="AD189" s="669">
        <f>AD190+AD192</f>
        <v>670.6</v>
      </c>
      <c r="AE189" s="633">
        <f t="shared" ref="AE189:AF189" si="51">AE190+AE192</f>
        <v>694</v>
      </c>
      <c r="AF189" s="643">
        <f t="shared" si="51"/>
        <v>694</v>
      </c>
      <c r="AG189" s="180"/>
      <c r="AH189" s="180"/>
      <c r="AI189" s="147"/>
    </row>
    <row r="190" spans="1:35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120</v>
      </c>
      <c r="Y190" s="452" t="s">
        <v>63</v>
      </c>
      <c r="Z190" s="453" t="s">
        <v>7</v>
      </c>
      <c r="AA190" s="453" t="s">
        <v>36</v>
      </c>
      <c r="AB190" s="542" t="s">
        <v>173</v>
      </c>
      <c r="AC190" s="473" t="s">
        <v>37</v>
      </c>
      <c r="AD190" s="669">
        <f>AD191</f>
        <v>332.1</v>
      </c>
      <c r="AE190" s="633">
        <f>AE191</f>
        <v>355.5</v>
      </c>
      <c r="AF190" s="643">
        <f>AF191</f>
        <v>435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52</v>
      </c>
      <c r="Y191" s="452" t="s">
        <v>63</v>
      </c>
      <c r="Z191" s="453" t="s">
        <v>7</v>
      </c>
      <c r="AA191" s="453" t="s">
        <v>36</v>
      </c>
      <c r="AB191" s="542" t="s">
        <v>173</v>
      </c>
      <c r="AC191" s="473" t="s">
        <v>65</v>
      </c>
      <c r="AD191" s="669">
        <f>355.5+4-27.4</f>
        <v>332.1</v>
      </c>
      <c r="AE191" s="633">
        <v>355.5</v>
      </c>
      <c r="AF191" s="643">
        <v>435</v>
      </c>
      <c r="AG191" s="180"/>
      <c r="AH191" s="180"/>
      <c r="AI191" s="147"/>
    </row>
    <row r="192" spans="1:35" s="500" customFormat="1" ht="31.5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60</v>
      </c>
      <c r="Y192" s="452" t="s">
        <v>63</v>
      </c>
      <c r="Z192" s="453" t="s">
        <v>7</v>
      </c>
      <c r="AA192" s="453" t="s">
        <v>36</v>
      </c>
      <c r="AB192" s="542" t="s">
        <v>173</v>
      </c>
      <c r="AC192" s="473" t="s">
        <v>386</v>
      </c>
      <c r="AD192" s="669">
        <f>AD193</f>
        <v>338.5</v>
      </c>
      <c r="AE192" s="633">
        <f t="shared" ref="AE192:AF192" si="52">AE193</f>
        <v>338.5</v>
      </c>
      <c r="AF192" s="643">
        <f t="shared" si="52"/>
        <v>259</v>
      </c>
      <c r="AG192" s="506"/>
      <c r="AH192" s="506"/>
      <c r="AI192" s="502"/>
    </row>
    <row r="193" spans="1:37" s="500" customFormat="1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61</v>
      </c>
      <c r="Y193" s="452" t="s">
        <v>63</v>
      </c>
      <c r="Z193" s="453" t="s">
        <v>7</v>
      </c>
      <c r="AA193" s="453" t="s">
        <v>36</v>
      </c>
      <c r="AB193" s="542" t="s">
        <v>173</v>
      </c>
      <c r="AC193" s="473" t="s">
        <v>387</v>
      </c>
      <c r="AD193" s="669">
        <v>338.5</v>
      </c>
      <c r="AE193" s="633">
        <v>338.5</v>
      </c>
      <c r="AF193" s="643">
        <v>259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562</v>
      </c>
      <c r="Y194" s="452" t="s">
        <v>63</v>
      </c>
      <c r="Z194" s="453" t="s">
        <v>7</v>
      </c>
      <c r="AA194" s="453" t="s">
        <v>36</v>
      </c>
      <c r="AB194" s="542" t="s">
        <v>108</v>
      </c>
      <c r="AC194" s="473"/>
      <c r="AD194" s="669">
        <f t="shared" ref="AD194:AF195" si="53">AD195</f>
        <v>870</v>
      </c>
      <c r="AE194" s="633">
        <f t="shared" si="53"/>
        <v>770</v>
      </c>
      <c r="AF194" s="643">
        <f t="shared" si="53"/>
        <v>770</v>
      </c>
      <c r="AG194" s="180"/>
      <c r="AH194" s="180"/>
      <c r="AI194" s="147"/>
    </row>
    <row r="195" spans="1:37" s="103" customFormat="1" ht="31.5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563</v>
      </c>
      <c r="Y195" s="452" t="s">
        <v>63</v>
      </c>
      <c r="Z195" s="453" t="s">
        <v>7</v>
      </c>
      <c r="AA195" s="453" t="s">
        <v>36</v>
      </c>
      <c r="AB195" s="542" t="s">
        <v>564</v>
      </c>
      <c r="AC195" s="473"/>
      <c r="AD195" s="669">
        <f t="shared" si="53"/>
        <v>870</v>
      </c>
      <c r="AE195" s="633">
        <f t="shared" si="53"/>
        <v>770</v>
      </c>
      <c r="AF195" s="643">
        <f t="shared" si="53"/>
        <v>770</v>
      </c>
      <c r="AG195" s="180"/>
      <c r="AH195" s="180"/>
      <c r="AI195" s="147"/>
    </row>
    <row r="196" spans="1:37" s="103" customFormat="1" ht="31.5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51" t="s">
        <v>172</v>
      </c>
      <c r="Y196" s="452" t="s">
        <v>63</v>
      </c>
      <c r="Z196" s="453" t="s">
        <v>7</v>
      </c>
      <c r="AA196" s="453" t="s">
        <v>36</v>
      </c>
      <c r="AB196" s="542" t="s">
        <v>565</v>
      </c>
      <c r="AC196" s="473"/>
      <c r="AD196" s="669">
        <f>AD199+AD197</f>
        <v>870</v>
      </c>
      <c r="AE196" s="669">
        <f t="shared" ref="AE196:AF196" si="54">AE199+AE197</f>
        <v>770</v>
      </c>
      <c r="AF196" s="669">
        <f t="shared" si="54"/>
        <v>770</v>
      </c>
      <c r="AG196" s="180"/>
      <c r="AH196" s="180"/>
      <c r="AI196" s="147"/>
    </row>
    <row r="197" spans="1:37" s="500" customFormat="1" x14ac:dyDescent="0.25">
      <c r="A197" s="491"/>
      <c r="B197" s="493"/>
      <c r="C197" s="494"/>
      <c r="D197" s="494"/>
      <c r="E197" s="495"/>
      <c r="F197" s="104"/>
      <c r="G197" s="496"/>
      <c r="H197" s="496"/>
      <c r="I197" s="496"/>
      <c r="J197" s="496"/>
      <c r="K197" s="496"/>
      <c r="L197" s="492"/>
      <c r="M197" s="496"/>
      <c r="N197" s="492"/>
      <c r="O197" s="496"/>
      <c r="P197" s="496"/>
      <c r="Q197" s="497"/>
      <c r="R197" s="498"/>
      <c r="S197" s="498"/>
      <c r="T197" s="498"/>
      <c r="U197" s="498"/>
      <c r="V197" s="498"/>
      <c r="W197" s="498"/>
      <c r="X197" s="451" t="s">
        <v>120</v>
      </c>
      <c r="Y197" s="452" t="s">
        <v>63</v>
      </c>
      <c r="Z197" s="453" t="s">
        <v>7</v>
      </c>
      <c r="AA197" s="453" t="s">
        <v>36</v>
      </c>
      <c r="AB197" s="542" t="s">
        <v>565</v>
      </c>
      <c r="AC197" s="473" t="s">
        <v>37</v>
      </c>
      <c r="AD197" s="669">
        <f>AD198</f>
        <v>100</v>
      </c>
      <c r="AE197" s="669">
        <f t="shared" ref="AE197:AF197" si="55">AE198</f>
        <v>0</v>
      </c>
      <c r="AF197" s="669">
        <f t="shared" si="55"/>
        <v>0</v>
      </c>
      <c r="AG197" s="506"/>
      <c r="AH197" s="506"/>
      <c r="AI197" s="502"/>
    </row>
    <row r="198" spans="1:37" s="500" customFormat="1" ht="31.5" x14ac:dyDescent="0.25">
      <c r="A198" s="491"/>
      <c r="B198" s="493"/>
      <c r="C198" s="494"/>
      <c r="D198" s="494"/>
      <c r="E198" s="495"/>
      <c r="F198" s="104"/>
      <c r="G198" s="496"/>
      <c r="H198" s="496"/>
      <c r="I198" s="496"/>
      <c r="J198" s="496"/>
      <c r="K198" s="496"/>
      <c r="L198" s="492"/>
      <c r="M198" s="496"/>
      <c r="N198" s="492"/>
      <c r="O198" s="496"/>
      <c r="P198" s="496"/>
      <c r="Q198" s="497"/>
      <c r="R198" s="498"/>
      <c r="S198" s="498"/>
      <c r="T198" s="498"/>
      <c r="U198" s="498"/>
      <c r="V198" s="498"/>
      <c r="W198" s="498"/>
      <c r="X198" s="451" t="s">
        <v>52</v>
      </c>
      <c r="Y198" s="452" t="s">
        <v>63</v>
      </c>
      <c r="Z198" s="453" t="s">
        <v>7</v>
      </c>
      <c r="AA198" s="453" t="s">
        <v>36</v>
      </c>
      <c r="AB198" s="542" t="s">
        <v>565</v>
      </c>
      <c r="AC198" s="473" t="s">
        <v>65</v>
      </c>
      <c r="AD198" s="669">
        <f>100</f>
        <v>100</v>
      </c>
      <c r="AE198" s="633">
        <v>0</v>
      </c>
      <c r="AF198" s="643">
        <v>0</v>
      </c>
      <c r="AG198" s="506"/>
      <c r="AH198" s="506"/>
      <c r="AI198" s="502"/>
    </row>
    <row r="199" spans="1:37" s="103" customFormat="1" ht="31.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60</v>
      </c>
      <c r="Y199" s="452" t="s">
        <v>63</v>
      </c>
      <c r="Z199" s="453" t="s">
        <v>7</v>
      </c>
      <c r="AA199" s="453" t="s">
        <v>36</v>
      </c>
      <c r="AB199" s="542" t="s">
        <v>565</v>
      </c>
      <c r="AC199" s="473" t="s">
        <v>386</v>
      </c>
      <c r="AD199" s="669">
        <f>AD200</f>
        <v>770</v>
      </c>
      <c r="AE199" s="633">
        <f>AE200</f>
        <v>770</v>
      </c>
      <c r="AF199" s="643">
        <f>AF200</f>
        <v>770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61</v>
      </c>
      <c r="Y200" s="452" t="s">
        <v>63</v>
      </c>
      <c r="Z200" s="453" t="s">
        <v>7</v>
      </c>
      <c r="AA200" s="453" t="s">
        <v>36</v>
      </c>
      <c r="AB200" s="542" t="s">
        <v>565</v>
      </c>
      <c r="AC200" s="473" t="s">
        <v>387</v>
      </c>
      <c r="AD200" s="669">
        <f>770</f>
        <v>770</v>
      </c>
      <c r="AE200" s="633">
        <v>770</v>
      </c>
      <c r="AF200" s="643">
        <v>770</v>
      </c>
      <c r="AG200" s="180"/>
      <c r="AH200" s="180"/>
      <c r="AI200" s="147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81"/>
      <c r="I201" s="81"/>
      <c r="J201" s="81"/>
      <c r="K201" s="81"/>
      <c r="L201" s="73"/>
      <c r="M201" s="81"/>
      <c r="N201" s="73"/>
      <c r="O201" s="81"/>
      <c r="P201" s="81"/>
      <c r="Q201" s="83"/>
      <c r="R201" s="87"/>
      <c r="S201" s="87"/>
      <c r="T201" s="87"/>
      <c r="U201" s="87"/>
      <c r="V201" s="87"/>
      <c r="W201" s="87"/>
      <c r="X201" s="466" t="s">
        <v>48</v>
      </c>
      <c r="Y201" s="452" t="s">
        <v>63</v>
      </c>
      <c r="Z201" s="453" t="s">
        <v>7</v>
      </c>
      <c r="AA201" s="453" t="s">
        <v>36</v>
      </c>
      <c r="AB201" s="542" t="s">
        <v>105</v>
      </c>
      <c r="AC201" s="473"/>
      <c r="AD201" s="669">
        <f t="shared" ref="AD201:AF202" si="56">AD202</f>
        <v>27231.8</v>
      </c>
      <c r="AE201" s="633">
        <f t="shared" si="56"/>
        <v>9650</v>
      </c>
      <c r="AF201" s="643">
        <f t="shared" si="56"/>
        <v>9686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81"/>
      <c r="I202" s="81"/>
      <c r="J202" s="81"/>
      <c r="K202" s="81"/>
      <c r="L202" s="73"/>
      <c r="M202" s="81"/>
      <c r="N202" s="73"/>
      <c r="O202" s="81"/>
      <c r="P202" s="81"/>
      <c r="Q202" s="83"/>
      <c r="R202" s="87"/>
      <c r="S202" s="87"/>
      <c r="T202" s="87"/>
      <c r="U202" s="87"/>
      <c r="V202" s="87"/>
      <c r="W202" s="87"/>
      <c r="X202" s="466" t="s">
        <v>269</v>
      </c>
      <c r="Y202" s="452" t="s">
        <v>63</v>
      </c>
      <c r="Z202" s="453" t="s">
        <v>7</v>
      </c>
      <c r="AA202" s="453" t="s">
        <v>36</v>
      </c>
      <c r="AB202" s="542" t="s">
        <v>350</v>
      </c>
      <c r="AC202" s="473"/>
      <c r="AD202" s="669">
        <f t="shared" si="56"/>
        <v>27231.8</v>
      </c>
      <c r="AE202" s="633">
        <f t="shared" si="56"/>
        <v>9650</v>
      </c>
      <c r="AF202" s="643">
        <f t="shared" si="56"/>
        <v>9686</v>
      </c>
      <c r="AG202" s="180"/>
      <c r="AH202" s="180"/>
      <c r="AI202" s="147"/>
    </row>
    <row r="203" spans="1:37" s="103" customFormat="1" x14ac:dyDescent="0.25">
      <c r="A203" s="47"/>
      <c r="B203" s="78"/>
      <c r="C203" s="79"/>
      <c r="D203" s="79"/>
      <c r="E203" s="80"/>
      <c r="F203" s="104"/>
      <c r="G203" s="81"/>
      <c r="H203" s="81"/>
      <c r="I203" s="81"/>
      <c r="J203" s="81"/>
      <c r="K203" s="81"/>
      <c r="L203" s="73"/>
      <c r="M203" s="81"/>
      <c r="N203" s="73"/>
      <c r="O203" s="81"/>
      <c r="P203" s="81"/>
      <c r="Q203" s="83"/>
      <c r="R203" s="87"/>
      <c r="S203" s="87"/>
      <c r="T203" s="87"/>
      <c r="U203" s="87"/>
      <c r="V203" s="87"/>
      <c r="W203" s="87"/>
      <c r="X203" s="466" t="s">
        <v>176</v>
      </c>
      <c r="Y203" s="452" t="s">
        <v>63</v>
      </c>
      <c r="Z203" s="453" t="s">
        <v>7</v>
      </c>
      <c r="AA203" s="453" t="s">
        <v>36</v>
      </c>
      <c r="AB203" s="542" t="s">
        <v>177</v>
      </c>
      <c r="AC203" s="473"/>
      <c r="AD203" s="669">
        <f>AD204+AD206</f>
        <v>27231.8</v>
      </c>
      <c r="AE203" s="633">
        <f>AE204+AE206</f>
        <v>9650</v>
      </c>
      <c r="AF203" s="643">
        <f>AF204+AF206</f>
        <v>9686</v>
      </c>
      <c r="AG203" s="180"/>
      <c r="AH203" s="180"/>
      <c r="AI203" s="147"/>
    </row>
    <row r="204" spans="1:37" s="103" customFormat="1" ht="47.25" x14ac:dyDescent="0.25">
      <c r="A204" s="47"/>
      <c r="B204" s="78"/>
      <c r="C204" s="79"/>
      <c r="D204" s="79"/>
      <c r="E204" s="80"/>
      <c r="F204" s="104"/>
      <c r="G204" s="81"/>
      <c r="H204" s="81"/>
      <c r="I204" s="81"/>
      <c r="J204" s="81"/>
      <c r="K204" s="81"/>
      <c r="L204" s="73"/>
      <c r="M204" s="81"/>
      <c r="N204" s="73"/>
      <c r="O204" s="81"/>
      <c r="P204" s="81"/>
      <c r="Q204" s="83"/>
      <c r="R204" s="87"/>
      <c r="S204" s="87"/>
      <c r="T204" s="87"/>
      <c r="U204" s="87"/>
      <c r="V204" s="87"/>
      <c r="W204" s="87"/>
      <c r="X204" s="451" t="s">
        <v>150</v>
      </c>
      <c r="Y204" s="452" t="s">
        <v>63</v>
      </c>
      <c r="Z204" s="453" t="s">
        <v>7</v>
      </c>
      <c r="AA204" s="453" t="s">
        <v>36</v>
      </c>
      <c r="AB204" s="542" t="s">
        <v>177</v>
      </c>
      <c r="AC204" s="473" t="s">
        <v>127</v>
      </c>
      <c r="AD204" s="669">
        <f>AD205</f>
        <v>25165.599999999999</v>
      </c>
      <c r="AE204" s="633">
        <f>AE205</f>
        <v>7883.8</v>
      </c>
      <c r="AF204" s="643">
        <f>AF205</f>
        <v>7919.8</v>
      </c>
      <c r="AG204" s="180"/>
      <c r="AH204" s="180"/>
      <c r="AI204" s="147"/>
    </row>
    <row r="205" spans="1:37" s="103" customFormat="1" x14ac:dyDescent="0.25">
      <c r="A205" s="47"/>
      <c r="B205" s="78"/>
      <c r="C205" s="79"/>
      <c r="D205" s="79"/>
      <c r="E205" s="80"/>
      <c r="F205" s="104"/>
      <c r="G205" s="81"/>
      <c r="H205" s="81"/>
      <c r="I205" s="81"/>
      <c r="J205" s="81"/>
      <c r="K205" s="81"/>
      <c r="L205" s="73"/>
      <c r="M205" s="81"/>
      <c r="N205" s="73"/>
      <c r="O205" s="81"/>
      <c r="P205" s="81"/>
      <c r="Q205" s="83"/>
      <c r="R205" s="87"/>
      <c r="S205" s="87"/>
      <c r="T205" s="87"/>
      <c r="U205" s="87"/>
      <c r="V205" s="87"/>
      <c r="W205" s="87"/>
      <c r="X205" s="451" t="s">
        <v>68</v>
      </c>
      <c r="Y205" s="452" t="s">
        <v>63</v>
      </c>
      <c r="Z205" s="453" t="s">
        <v>7</v>
      </c>
      <c r="AA205" s="453" t="s">
        <v>36</v>
      </c>
      <c r="AB205" s="542" t="s">
        <v>177</v>
      </c>
      <c r="AC205" s="473" t="s">
        <v>128</v>
      </c>
      <c r="AD205" s="669">
        <f>25162.6+3</f>
        <v>25165.599999999999</v>
      </c>
      <c r="AE205" s="633">
        <v>7883.8</v>
      </c>
      <c r="AF205" s="643">
        <v>7919.8</v>
      </c>
      <c r="AG205" s="180"/>
      <c r="AH205" s="180"/>
      <c r="AI205" s="748"/>
      <c r="AJ205" s="749"/>
      <c r="AK205" s="105"/>
    </row>
    <row r="206" spans="1:37" s="103" customFormat="1" x14ac:dyDescent="0.25">
      <c r="A206" s="47"/>
      <c r="B206" s="78"/>
      <c r="C206" s="79"/>
      <c r="D206" s="79"/>
      <c r="E206" s="80"/>
      <c r="F206" s="104"/>
      <c r="G206" s="81"/>
      <c r="H206" s="105"/>
      <c r="I206" s="49"/>
      <c r="J206" s="49"/>
      <c r="K206" s="49"/>
      <c r="L206" s="81"/>
      <c r="M206" s="49"/>
      <c r="N206" s="81"/>
      <c r="O206" s="82"/>
      <c r="P206" s="81"/>
      <c r="Q206" s="83"/>
      <c r="R206" s="87"/>
      <c r="S206" s="87"/>
      <c r="T206" s="87"/>
      <c r="U206" s="87"/>
      <c r="V206" s="87"/>
      <c r="W206" s="87"/>
      <c r="X206" s="451" t="s">
        <v>120</v>
      </c>
      <c r="Y206" s="452" t="s">
        <v>63</v>
      </c>
      <c r="Z206" s="453" t="s">
        <v>7</v>
      </c>
      <c r="AA206" s="453" t="s">
        <v>36</v>
      </c>
      <c r="AB206" s="542" t="s">
        <v>177</v>
      </c>
      <c r="AC206" s="473" t="s">
        <v>37</v>
      </c>
      <c r="AD206" s="669">
        <f>AD207</f>
        <v>2066.1999999999998</v>
      </c>
      <c r="AE206" s="633">
        <f>AE207</f>
        <v>1766.2</v>
      </c>
      <c r="AF206" s="643">
        <f>AF207</f>
        <v>1766.2</v>
      </c>
      <c r="AG206" s="180"/>
      <c r="AH206" s="180"/>
      <c r="AI206" s="147"/>
    </row>
    <row r="207" spans="1:37" s="103" customFormat="1" ht="31.5" x14ac:dyDescent="0.25">
      <c r="A207" s="47"/>
      <c r="B207" s="78"/>
      <c r="C207" s="79"/>
      <c r="D207" s="79"/>
      <c r="E207" s="80"/>
      <c r="F207" s="104"/>
      <c r="G207" s="81"/>
      <c r="H207" s="105"/>
      <c r="I207" s="49"/>
      <c r="J207" s="49"/>
      <c r="K207" s="49"/>
      <c r="L207" s="81"/>
      <c r="M207" s="49"/>
      <c r="N207" s="81"/>
      <c r="O207" s="82"/>
      <c r="P207" s="81"/>
      <c r="Q207" s="83"/>
      <c r="R207" s="87"/>
      <c r="S207" s="87"/>
      <c r="T207" s="87"/>
      <c r="U207" s="87"/>
      <c r="V207" s="87"/>
      <c r="W207" s="87"/>
      <c r="X207" s="451" t="s">
        <v>52</v>
      </c>
      <c r="Y207" s="452" t="s">
        <v>63</v>
      </c>
      <c r="Z207" s="453" t="s">
        <v>7</v>
      </c>
      <c r="AA207" s="453" t="s">
        <v>36</v>
      </c>
      <c r="AB207" s="542" t="s">
        <v>177</v>
      </c>
      <c r="AC207" s="473" t="s">
        <v>65</v>
      </c>
      <c r="AD207" s="669">
        <f>1766.2+300</f>
        <v>2066.1999999999998</v>
      </c>
      <c r="AE207" s="633">
        <v>1766.2</v>
      </c>
      <c r="AF207" s="643">
        <v>1766.2</v>
      </c>
      <c r="AG207" s="180"/>
      <c r="AH207" s="180"/>
      <c r="AI207" s="147"/>
    </row>
    <row r="208" spans="1:37" s="500" customFormat="1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7" t="s">
        <v>186</v>
      </c>
      <c r="Y208" s="452" t="s">
        <v>63</v>
      </c>
      <c r="Z208" s="453" t="s">
        <v>7</v>
      </c>
      <c r="AA208" s="453" t="s">
        <v>36</v>
      </c>
      <c r="AB208" s="542" t="s">
        <v>112</v>
      </c>
      <c r="AC208" s="482"/>
      <c r="AD208" s="669">
        <f>AD209</f>
        <v>10</v>
      </c>
      <c r="AE208" s="633">
        <f t="shared" ref="AE208:AF212" si="57">AE209</f>
        <v>0</v>
      </c>
      <c r="AF208" s="643">
        <f t="shared" si="57"/>
        <v>0</v>
      </c>
      <c r="AG208" s="506"/>
      <c r="AH208" s="506"/>
      <c r="AI208" s="502"/>
    </row>
    <row r="209" spans="1:35" s="500" customFormat="1" x14ac:dyDescent="0.25">
      <c r="A209" s="491"/>
      <c r="B209" s="493"/>
      <c r="C209" s="494"/>
      <c r="D209" s="494"/>
      <c r="E209" s="495"/>
      <c r="F209" s="104"/>
      <c r="G209" s="496"/>
      <c r="H209" s="105"/>
      <c r="I209" s="49"/>
      <c r="J209" s="49"/>
      <c r="K209" s="49"/>
      <c r="L209" s="496"/>
      <c r="M209" s="49"/>
      <c r="N209" s="496"/>
      <c r="O209" s="82"/>
      <c r="P209" s="496"/>
      <c r="Q209" s="497"/>
      <c r="R209" s="498"/>
      <c r="S209" s="498"/>
      <c r="T209" s="498"/>
      <c r="U209" s="498"/>
      <c r="V209" s="498"/>
      <c r="W209" s="498"/>
      <c r="X209" s="457" t="s">
        <v>189</v>
      </c>
      <c r="Y209" s="452" t="s">
        <v>63</v>
      </c>
      <c r="Z209" s="453" t="s">
        <v>7</v>
      </c>
      <c r="AA209" s="453" t="s">
        <v>36</v>
      </c>
      <c r="AB209" s="542" t="s">
        <v>190</v>
      </c>
      <c r="AC209" s="482"/>
      <c r="AD209" s="669">
        <f>AD210</f>
        <v>10</v>
      </c>
      <c r="AE209" s="633">
        <f t="shared" si="57"/>
        <v>0</v>
      </c>
      <c r="AF209" s="643">
        <f t="shared" si="57"/>
        <v>0</v>
      </c>
      <c r="AG209" s="506"/>
      <c r="AH209" s="506"/>
      <c r="AI209" s="502"/>
    </row>
    <row r="210" spans="1:35" s="500" customFormat="1" ht="31.5" x14ac:dyDescent="0.25">
      <c r="A210" s="491"/>
      <c r="B210" s="493"/>
      <c r="C210" s="494"/>
      <c r="D210" s="494"/>
      <c r="E210" s="495"/>
      <c r="F210" s="104"/>
      <c r="G210" s="496"/>
      <c r="H210" s="105"/>
      <c r="I210" s="49"/>
      <c r="J210" s="49"/>
      <c r="K210" s="49"/>
      <c r="L210" s="496"/>
      <c r="M210" s="49"/>
      <c r="N210" s="496"/>
      <c r="O210" s="82"/>
      <c r="P210" s="496"/>
      <c r="Q210" s="497"/>
      <c r="R210" s="498"/>
      <c r="S210" s="498"/>
      <c r="T210" s="498"/>
      <c r="U210" s="498"/>
      <c r="V210" s="498"/>
      <c r="W210" s="498"/>
      <c r="X210" s="451" t="s">
        <v>533</v>
      </c>
      <c r="Y210" s="452" t="s">
        <v>63</v>
      </c>
      <c r="Z210" s="453" t="s">
        <v>7</v>
      </c>
      <c r="AA210" s="453" t="s">
        <v>36</v>
      </c>
      <c r="AB210" s="544" t="s">
        <v>534</v>
      </c>
      <c r="AC210" s="454"/>
      <c r="AD210" s="669">
        <f>AD211</f>
        <v>10</v>
      </c>
      <c r="AE210" s="633">
        <f t="shared" si="57"/>
        <v>0</v>
      </c>
      <c r="AF210" s="643">
        <f t="shared" si="57"/>
        <v>0</v>
      </c>
      <c r="AG210" s="506"/>
      <c r="AH210" s="506"/>
      <c r="AI210" s="502"/>
    </row>
    <row r="211" spans="1:35" s="500" customFormat="1" ht="78.75" x14ac:dyDescent="0.25">
      <c r="A211" s="491"/>
      <c r="B211" s="493"/>
      <c r="C211" s="494"/>
      <c r="D211" s="494"/>
      <c r="E211" s="495"/>
      <c r="F211" s="104"/>
      <c r="G211" s="496"/>
      <c r="H211" s="105"/>
      <c r="I211" s="49"/>
      <c r="J211" s="49"/>
      <c r="K211" s="49"/>
      <c r="L211" s="496"/>
      <c r="M211" s="49"/>
      <c r="N211" s="496"/>
      <c r="O211" s="82"/>
      <c r="P211" s="496"/>
      <c r="Q211" s="497"/>
      <c r="R211" s="498"/>
      <c r="S211" s="498"/>
      <c r="T211" s="498"/>
      <c r="U211" s="498"/>
      <c r="V211" s="498"/>
      <c r="W211" s="498"/>
      <c r="X211" s="451" t="s">
        <v>405</v>
      </c>
      <c r="Y211" s="452" t="s">
        <v>63</v>
      </c>
      <c r="Z211" s="453" t="s">
        <v>7</v>
      </c>
      <c r="AA211" s="453" t="s">
        <v>36</v>
      </c>
      <c r="AB211" s="542" t="s">
        <v>535</v>
      </c>
      <c r="AC211" s="454"/>
      <c r="AD211" s="669">
        <f>AD212</f>
        <v>10</v>
      </c>
      <c r="AE211" s="633">
        <f t="shared" si="57"/>
        <v>0</v>
      </c>
      <c r="AF211" s="643">
        <f t="shared" si="57"/>
        <v>0</v>
      </c>
      <c r="AG211" s="506"/>
      <c r="AH211" s="506"/>
      <c r="AI211" s="502"/>
    </row>
    <row r="212" spans="1:35" s="500" customFormat="1" x14ac:dyDescent="0.25">
      <c r="A212" s="491"/>
      <c r="B212" s="493"/>
      <c r="C212" s="494"/>
      <c r="D212" s="494"/>
      <c r="E212" s="495"/>
      <c r="F212" s="104"/>
      <c r="G212" s="496"/>
      <c r="H212" s="105"/>
      <c r="I212" s="49"/>
      <c r="J212" s="49"/>
      <c r="K212" s="49"/>
      <c r="L212" s="496"/>
      <c r="M212" s="49"/>
      <c r="N212" s="496"/>
      <c r="O212" s="82"/>
      <c r="P212" s="496"/>
      <c r="Q212" s="497"/>
      <c r="R212" s="498"/>
      <c r="S212" s="498"/>
      <c r="T212" s="498"/>
      <c r="U212" s="498"/>
      <c r="V212" s="498"/>
      <c r="W212" s="498"/>
      <c r="X212" s="451" t="s">
        <v>120</v>
      </c>
      <c r="Y212" s="452" t="s">
        <v>63</v>
      </c>
      <c r="Z212" s="453" t="s">
        <v>7</v>
      </c>
      <c r="AA212" s="453" t="s">
        <v>36</v>
      </c>
      <c r="AB212" s="542" t="s">
        <v>535</v>
      </c>
      <c r="AC212" s="454">
        <v>200</v>
      </c>
      <c r="AD212" s="669">
        <f>AD213</f>
        <v>10</v>
      </c>
      <c r="AE212" s="633">
        <f t="shared" si="57"/>
        <v>0</v>
      </c>
      <c r="AF212" s="643">
        <f t="shared" si="57"/>
        <v>0</v>
      </c>
      <c r="AG212" s="506"/>
      <c r="AH212" s="506"/>
      <c r="AI212" s="502"/>
    </row>
    <row r="213" spans="1:35" s="500" customFormat="1" ht="31.5" x14ac:dyDescent="0.25">
      <c r="A213" s="491"/>
      <c r="B213" s="493"/>
      <c r="C213" s="494"/>
      <c r="D213" s="494"/>
      <c r="E213" s="495"/>
      <c r="F213" s="104"/>
      <c r="G213" s="496"/>
      <c r="H213" s="105"/>
      <c r="I213" s="49"/>
      <c r="J213" s="49"/>
      <c r="K213" s="49"/>
      <c r="L213" s="496"/>
      <c r="M213" s="49"/>
      <c r="N213" s="496"/>
      <c r="O213" s="82"/>
      <c r="P213" s="496"/>
      <c r="Q213" s="497"/>
      <c r="R213" s="498"/>
      <c r="S213" s="498"/>
      <c r="T213" s="498"/>
      <c r="U213" s="498"/>
      <c r="V213" s="498"/>
      <c r="W213" s="498"/>
      <c r="X213" s="451" t="s">
        <v>52</v>
      </c>
      <c r="Y213" s="452" t="s">
        <v>63</v>
      </c>
      <c r="Z213" s="453" t="s">
        <v>7</v>
      </c>
      <c r="AA213" s="453" t="s">
        <v>36</v>
      </c>
      <c r="AB213" s="542" t="s">
        <v>535</v>
      </c>
      <c r="AC213" s="454">
        <v>240</v>
      </c>
      <c r="AD213" s="669">
        <v>10</v>
      </c>
      <c r="AE213" s="633">
        <v>0</v>
      </c>
      <c r="AF213" s="643">
        <v>0</v>
      </c>
      <c r="AG213" s="506"/>
      <c r="AH213" s="506"/>
      <c r="AI213" s="502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81"/>
      <c r="I214" s="81"/>
      <c r="J214" s="81"/>
      <c r="K214" s="73"/>
      <c r="L214" s="81"/>
      <c r="M214" s="73"/>
      <c r="N214" s="81"/>
      <c r="O214" s="81"/>
      <c r="P214" s="83"/>
      <c r="Q214" s="87"/>
      <c r="R214" s="87"/>
      <c r="S214" s="87"/>
      <c r="T214" s="87"/>
      <c r="U214" s="87"/>
      <c r="V214" s="87"/>
      <c r="W214" s="87"/>
      <c r="X214" s="451" t="s">
        <v>151</v>
      </c>
      <c r="Y214" s="452" t="s">
        <v>63</v>
      </c>
      <c r="Z214" s="453" t="s">
        <v>7</v>
      </c>
      <c r="AA214" s="453">
        <v>14</v>
      </c>
      <c r="AB214" s="541"/>
      <c r="AC214" s="473"/>
      <c r="AD214" s="669">
        <f>AD215+AD225</f>
        <v>21343.8</v>
      </c>
      <c r="AE214" s="633">
        <f t="shared" ref="AD214:AF215" si="58">AE215</f>
        <v>12118.8</v>
      </c>
      <c r="AF214" s="643">
        <f t="shared" si="58"/>
        <v>10049.199999999999</v>
      </c>
      <c r="AG214" s="180"/>
      <c r="AH214" s="180"/>
      <c r="AI214" s="147"/>
    </row>
    <row r="215" spans="1:35" s="103" customFormat="1" ht="31.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57" t="s">
        <v>161</v>
      </c>
      <c r="Y215" s="452" t="s">
        <v>63</v>
      </c>
      <c r="Z215" s="453" t="s">
        <v>7</v>
      </c>
      <c r="AA215" s="453">
        <v>14</v>
      </c>
      <c r="AB215" s="541" t="s">
        <v>102</v>
      </c>
      <c r="AC215" s="473"/>
      <c r="AD215" s="669">
        <f t="shared" si="58"/>
        <v>19343.8</v>
      </c>
      <c r="AE215" s="633">
        <f t="shared" si="58"/>
        <v>12118.8</v>
      </c>
      <c r="AF215" s="643">
        <f t="shared" si="58"/>
        <v>10049.199999999999</v>
      </c>
      <c r="AG215" s="180"/>
      <c r="AH215" s="180"/>
      <c r="AI215" s="147"/>
    </row>
    <row r="216" spans="1:35" s="103" customFormat="1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457" t="s">
        <v>162</v>
      </c>
      <c r="Y216" s="452" t="s">
        <v>63</v>
      </c>
      <c r="Z216" s="453" t="s">
        <v>7</v>
      </c>
      <c r="AA216" s="453">
        <v>14</v>
      </c>
      <c r="AB216" s="541" t="s">
        <v>106</v>
      </c>
      <c r="AC216" s="473"/>
      <c r="AD216" s="669">
        <f>AD217+AD221</f>
        <v>19343.8</v>
      </c>
      <c r="AE216" s="633">
        <f>AE217+AE221</f>
        <v>12118.8</v>
      </c>
      <c r="AF216" s="643">
        <f>AF217+AF221</f>
        <v>10049.199999999999</v>
      </c>
      <c r="AG216" s="180"/>
      <c r="AH216" s="180"/>
      <c r="AI216" s="147"/>
    </row>
    <row r="217" spans="1:35" s="103" customFormat="1" ht="31.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466" t="s">
        <v>163</v>
      </c>
      <c r="Y217" s="452" t="s">
        <v>63</v>
      </c>
      <c r="Z217" s="453" t="s">
        <v>7</v>
      </c>
      <c r="AA217" s="453">
        <v>14</v>
      </c>
      <c r="AB217" s="542" t="s">
        <v>123</v>
      </c>
      <c r="AC217" s="482"/>
      <c r="AD217" s="669">
        <f>AD218</f>
        <v>864.8</v>
      </c>
      <c r="AE217" s="633">
        <f t="shared" ref="AD217:AF219" si="59">AE218</f>
        <v>64.8</v>
      </c>
      <c r="AF217" s="643">
        <f t="shared" si="59"/>
        <v>64.8</v>
      </c>
      <c r="AG217" s="180"/>
      <c r="AH217" s="180"/>
      <c r="AI217" s="147"/>
    </row>
    <row r="218" spans="1:35" s="103" customFormat="1" ht="31.5" x14ac:dyDescent="0.25">
      <c r="A218" s="47"/>
      <c r="B218" s="78"/>
      <c r="C218" s="79"/>
      <c r="D218" s="79"/>
      <c r="E218" s="80"/>
      <c r="F218" s="104"/>
      <c r="G218" s="81"/>
      <c r="H218" s="49"/>
      <c r="I218" s="49"/>
      <c r="J218" s="49"/>
      <c r="K218" s="81"/>
      <c r="L218" s="49"/>
      <c r="M218" s="81"/>
      <c r="N218" s="82"/>
      <c r="O218" s="81"/>
      <c r="P218" s="83"/>
      <c r="Q218" s="87"/>
      <c r="R218" s="87"/>
      <c r="S218" s="87"/>
      <c r="T218" s="87"/>
      <c r="U218" s="87"/>
      <c r="V218" s="87"/>
      <c r="W218" s="87"/>
      <c r="X218" s="466" t="s">
        <v>164</v>
      </c>
      <c r="Y218" s="452" t="s">
        <v>63</v>
      </c>
      <c r="Z218" s="453" t="s">
        <v>7</v>
      </c>
      <c r="AA218" s="453">
        <v>14</v>
      </c>
      <c r="AB218" s="542" t="s">
        <v>165</v>
      </c>
      <c r="AC218" s="482"/>
      <c r="AD218" s="669">
        <f>AD219</f>
        <v>864.8</v>
      </c>
      <c r="AE218" s="633">
        <f t="shared" si="59"/>
        <v>64.8</v>
      </c>
      <c r="AF218" s="643">
        <f t="shared" si="59"/>
        <v>64.8</v>
      </c>
      <c r="AG218" s="180"/>
      <c r="AH218" s="180"/>
      <c r="AI218" s="147"/>
    </row>
    <row r="219" spans="1:35" s="103" customFormat="1" ht="31.5" x14ac:dyDescent="0.25">
      <c r="A219" s="47"/>
      <c r="B219" s="78"/>
      <c r="C219" s="79"/>
      <c r="D219" s="79"/>
      <c r="E219" s="80"/>
      <c r="F219" s="104"/>
      <c r="G219" s="81"/>
      <c r="H219" s="49"/>
      <c r="I219" s="49"/>
      <c r="J219" s="49"/>
      <c r="K219" s="81"/>
      <c r="L219" s="49"/>
      <c r="M219" s="81"/>
      <c r="N219" s="82"/>
      <c r="O219" s="81"/>
      <c r="P219" s="83"/>
      <c r="Q219" s="87"/>
      <c r="R219" s="87"/>
      <c r="S219" s="87"/>
      <c r="T219" s="87"/>
      <c r="U219" s="87"/>
      <c r="V219" s="87"/>
      <c r="W219" s="87"/>
      <c r="X219" s="651" t="s">
        <v>60</v>
      </c>
      <c r="Y219" s="452" t="s">
        <v>63</v>
      </c>
      <c r="Z219" s="453" t="s">
        <v>7</v>
      </c>
      <c r="AA219" s="453">
        <v>14</v>
      </c>
      <c r="AB219" s="542" t="s">
        <v>165</v>
      </c>
      <c r="AC219" s="454">
        <v>600</v>
      </c>
      <c r="AD219" s="669">
        <f t="shared" si="59"/>
        <v>864.8</v>
      </c>
      <c r="AE219" s="633">
        <f t="shared" si="59"/>
        <v>64.8</v>
      </c>
      <c r="AF219" s="643">
        <f t="shared" si="59"/>
        <v>64.8</v>
      </c>
      <c r="AG219" s="180"/>
      <c r="AH219" s="180"/>
      <c r="AI219" s="147"/>
    </row>
    <row r="220" spans="1:35" s="103" customFormat="1" ht="47.25" x14ac:dyDescent="0.25">
      <c r="A220" s="47"/>
      <c r="B220" s="78"/>
      <c r="C220" s="79"/>
      <c r="D220" s="79"/>
      <c r="E220" s="80"/>
      <c r="F220" s="104"/>
      <c r="G220" s="81"/>
      <c r="H220" s="49"/>
      <c r="I220" s="49"/>
      <c r="J220" s="49"/>
      <c r="K220" s="81"/>
      <c r="L220" s="49"/>
      <c r="M220" s="81"/>
      <c r="N220" s="82"/>
      <c r="O220" s="81"/>
      <c r="P220" s="83"/>
      <c r="Q220" s="87"/>
      <c r="R220" s="87"/>
      <c r="S220" s="87"/>
      <c r="T220" s="87"/>
      <c r="U220" s="87"/>
      <c r="V220" s="87"/>
      <c r="W220" s="87"/>
      <c r="X220" s="651" t="s">
        <v>363</v>
      </c>
      <c r="Y220" s="452" t="s">
        <v>63</v>
      </c>
      <c r="Z220" s="453" t="s">
        <v>7</v>
      </c>
      <c r="AA220" s="453">
        <v>14</v>
      </c>
      <c r="AB220" s="542" t="s">
        <v>165</v>
      </c>
      <c r="AC220" s="454">
        <v>630</v>
      </c>
      <c r="AD220" s="669">
        <v>864.8</v>
      </c>
      <c r="AE220" s="633">
        <v>64.8</v>
      </c>
      <c r="AF220" s="643">
        <v>64.8</v>
      </c>
      <c r="AG220" s="180"/>
      <c r="AH220" s="180"/>
      <c r="AI220" s="147"/>
    </row>
    <row r="221" spans="1:35" s="103" customFormat="1" ht="47.25" x14ac:dyDescent="0.25">
      <c r="A221" s="88"/>
      <c r="B221" s="78"/>
      <c r="C221" s="79"/>
      <c r="D221" s="79"/>
      <c r="E221" s="80"/>
      <c r="F221" s="79"/>
      <c r="G221" s="81"/>
      <c r="H221" s="49"/>
      <c r="I221" s="49"/>
      <c r="J221" s="49"/>
      <c r="K221" s="73"/>
      <c r="L221" s="49"/>
      <c r="M221" s="73"/>
      <c r="N221" s="82"/>
      <c r="O221" s="81"/>
      <c r="P221" s="83"/>
      <c r="Q221" s="87"/>
      <c r="R221" s="87"/>
      <c r="S221" s="87"/>
      <c r="T221" s="87"/>
      <c r="U221" s="87"/>
      <c r="V221" s="87"/>
      <c r="W221" s="105"/>
      <c r="X221" s="466" t="s">
        <v>167</v>
      </c>
      <c r="Y221" s="452" t="s">
        <v>63</v>
      </c>
      <c r="Z221" s="453" t="s">
        <v>7</v>
      </c>
      <c r="AA221" s="453" t="s">
        <v>44</v>
      </c>
      <c r="AB221" s="542" t="s">
        <v>168</v>
      </c>
      <c r="AC221" s="454"/>
      <c r="AD221" s="669">
        <f t="shared" ref="AD221:AF222" si="60">AD222</f>
        <v>18479</v>
      </c>
      <c r="AE221" s="633">
        <f t="shared" si="60"/>
        <v>12054</v>
      </c>
      <c r="AF221" s="643">
        <f t="shared" si="60"/>
        <v>9984.4</v>
      </c>
      <c r="AG221" s="180"/>
      <c r="AH221" s="180"/>
      <c r="AI221" s="147"/>
    </row>
    <row r="222" spans="1:35" s="103" customFormat="1" x14ac:dyDescent="0.25">
      <c r="A222" s="88"/>
      <c r="B222" s="78"/>
      <c r="C222" s="79"/>
      <c r="D222" s="79"/>
      <c r="E222" s="80"/>
      <c r="F222" s="79"/>
      <c r="G222" s="81"/>
      <c r="H222" s="49"/>
      <c r="I222" s="49"/>
      <c r="J222" s="49"/>
      <c r="K222" s="73"/>
      <c r="L222" s="49"/>
      <c r="M222" s="73"/>
      <c r="N222" s="82"/>
      <c r="O222" s="81"/>
      <c r="P222" s="83"/>
      <c r="Q222" s="87"/>
      <c r="R222" s="87"/>
      <c r="S222" s="87"/>
      <c r="T222" s="87"/>
      <c r="U222" s="87"/>
      <c r="V222" s="87"/>
      <c r="W222" s="105"/>
      <c r="X222" s="457" t="s">
        <v>169</v>
      </c>
      <c r="Y222" s="452" t="s">
        <v>63</v>
      </c>
      <c r="Z222" s="453" t="s">
        <v>7</v>
      </c>
      <c r="AA222" s="453" t="s">
        <v>44</v>
      </c>
      <c r="AB222" s="542" t="s">
        <v>170</v>
      </c>
      <c r="AC222" s="454"/>
      <c r="AD222" s="669">
        <f t="shared" si="60"/>
        <v>18479</v>
      </c>
      <c r="AE222" s="633">
        <f t="shared" si="60"/>
        <v>12054</v>
      </c>
      <c r="AF222" s="643">
        <f t="shared" si="60"/>
        <v>9984.4</v>
      </c>
      <c r="AG222" s="180"/>
      <c r="AH222" s="180"/>
      <c r="AI222" s="147"/>
    </row>
    <row r="223" spans="1:35" x14ac:dyDescent="0.25">
      <c r="A223" s="90"/>
      <c r="B223" s="78"/>
      <c r="C223" s="79"/>
      <c r="D223" s="79"/>
      <c r="E223" s="80"/>
      <c r="F223" s="106"/>
      <c r="G223" s="81"/>
      <c r="H223" s="91"/>
      <c r="I223" s="91"/>
      <c r="J223" s="91"/>
      <c r="K223" s="73"/>
      <c r="L223" s="91"/>
      <c r="M223" s="73"/>
      <c r="N223" s="82"/>
      <c r="O223" s="41"/>
      <c r="P223" s="83"/>
      <c r="Q223" s="84"/>
      <c r="R223" s="84"/>
      <c r="S223" s="87"/>
      <c r="T223" s="87"/>
      <c r="U223" s="87"/>
      <c r="V223" s="87"/>
      <c r="X223" s="451" t="s">
        <v>120</v>
      </c>
      <c r="Y223" s="452" t="s">
        <v>63</v>
      </c>
      <c r="Z223" s="453" t="s">
        <v>7</v>
      </c>
      <c r="AA223" s="453" t="s">
        <v>44</v>
      </c>
      <c r="AB223" s="542" t="s">
        <v>170</v>
      </c>
      <c r="AC223" s="454">
        <v>200</v>
      </c>
      <c r="AD223" s="669">
        <f>AD224</f>
        <v>18479</v>
      </c>
      <c r="AE223" s="633">
        <f>AE224</f>
        <v>12054</v>
      </c>
      <c r="AF223" s="643">
        <f>AF224</f>
        <v>9984.4</v>
      </c>
      <c r="AG223" s="180"/>
      <c r="AH223" s="180"/>
      <c r="AI223" s="147"/>
    </row>
    <row r="224" spans="1:35" ht="31.5" x14ac:dyDescent="0.25">
      <c r="A224" s="90"/>
      <c r="B224" s="78"/>
      <c r="C224" s="79"/>
      <c r="D224" s="79"/>
      <c r="E224" s="80"/>
      <c r="F224" s="106"/>
      <c r="G224" s="81"/>
      <c r="H224" s="91"/>
      <c r="I224" s="91"/>
      <c r="J224" s="91"/>
      <c r="K224" s="73"/>
      <c r="L224" s="91"/>
      <c r="M224" s="73"/>
      <c r="N224" s="82"/>
      <c r="O224" s="41"/>
      <c r="P224" s="83"/>
      <c r="Q224" s="84"/>
      <c r="R224" s="84"/>
      <c r="S224" s="87"/>
      <c r="T224" s="87"/>
      <c r="U224" s="87"/>
      <c r="V224" s="87"/>
      <c r="X224" s="451" t="s">
        <v>52</v>
      </c>
      <c r="Y224" s="452" t="s">
        <v>63</v>
      </c>
      <c r="Z224" s="453" t="s">
        <v>7</v>
      </c>
      <c r="AA224" s="453" t="s">
        <v>44</v>
      </c>
      <c r="AB224" s="542" t="s">
        <v>170</v>
      </c>
      <c r="AC224" s="454">
        <v>240</v>
      </c>
      <c r="AD224" s="671">
        <f>16834+1645</f>
        <v>18479</v>
      </c>
      <c r="AE224" s="635">
        <v>12054</v>
      </c>
      <c r="AF224" s="644">
        <v>9984.4</v>
      </c>
      <c r="AG224" s="206"/>
      <c r="AH224" s="206"/>
      <c r="AI224" s="147"/>
    </row>
    <row r="225" spans="1:35" x14ac:dyDescent="0.25">
      <c r="A225" s="90"/>
      <c r="B225" s="493"/>
      <c r="C225" s="494"/>
      <c r="D225" s="494"/>
      <c r="E225" s="495"/>
      <c r="F225" s="106"/>
      <c r="G225" s="496"/>
      <c r="H225" s="91"/>
      <c r="I225" s="91"/>
      <c r="J225" s="91"/>
      <c r="K225" s="492"/>
      <c r="L225" s="91"/>
      <c r="M225" s="492"/>
      <c r="N225" s="82"/>
      <c r="O225" s="41"/>
      <c r="P225" s="497"/>
      <c r="Q225" s="84"/>
      <c r="R225" s="84"/>
      <c r="S225" s="498"/>
      <c r="T225" s="498"/>
      <c r="U225" s="498"/>
      <c r="V225" s="498"/>
      <c r="X225" s="273" t="s">
        <v>332</v>
      </c>
      <c r="Y225" s="452" t="s">
        <v>63</v>
      </c>
      <c r="Z225" s="453" t="s">
        <v>7</v>
      </c>
      <c r="AA225" s="453" t="s">
        <v>44</v>
      </c>
      <c r="AB225" s="282" t="s">
        <v>137</v>
      </c>
      <c r="AC225" s="454"/>
      <c r="AD225" s="671">
        <f>AD226</f>
        <v>2000</v>
      </c>
      <c r="AE225" s="671">
        <f t="shared" ref="AE225:AF225" si="61">AE226</f>
        <v>0</v>
      </c>
      <c r="AF225" s="671">
        <f t="shared" si="61"/>
        <v>0</v>
      </c>
      <c r="AG225" s="206"/>
      <c r="AH225" s="206"/>
      <c r="AI225" s="502"/>
    </row>
    <row r="226" spans="1:35" x14ac:dyDescent="0.25">
      <c r="A226" s="90"/>
      <c r="B226" s="493"/>
      <c r="C226" s="494"/>
      <c r="D226" s="494"/>
      <c r="E226" s="495"/>
      <c r="F226" s="106"/>
      <c r="G226" s="496"/>
      <c r="H226" s="91"/>
      <c r="I226" s="91"/>
      <c r="J226" s="91"/>
      <c r="K226" s="492"/>
      <c r="L226" s="91"/>
      <c r="M226" s="492"/>
      <c r="N226" s="82"/>
      <c r="O226" s="41"/>
      <c r="P226" s="497"/>
      <c r="Q226" s="84"/>
      <c r="R226" s="84"/>
      <c r="S226" s="498"/>
      <c r="T226" s="498"/>
      <c r="U226" s="498"/>
      <c r="V226" s="498"/>
      <c r="X226" s="451" t="s">
        <v>426</v>
      </c>
      <c r="Y226" s="452" t="s">
        <v>63</v>
      </c>
      <c r="Z226" s="453" t="s">
        <v>7</v>
      </c>
      <c r="AA226" s="453" t="s">
        <v>44</v>
      </c>
      <c r="AB226" s="697" t="s">
        <v>427</v>
      </c>
      <c r="AC226" s="454"/>
      <c r="AD226" s="671">
        <f>AD227</f>
        <v>2000</v>
      </c>
      <c r="AE226" s="671">
        <f t="shared" ref="AE226:AF226" si="62">AE227</f>
        <v>0</v>
      </c>
      <c r="AF226" s="671">
        <f t="shared" si="62"/>
        <v>0</v>
      </c>
      <c r="AG226" s="206"/>
      <c r="AH226" s="206"/>
      <c r="AI226" s="502"/>
    </row>
    <row r="227" spans="1:35" ht="33.75" customHeight="1" x14ac:dyDescent="0.25">
      <c r="A227" s="90"/>
      <c r="B227" s="493"/>
      <c r="C227" s="494"/>
      <c r="D227" s="494"/>
      <c r="E227" s="495"/>
      <c r="F227" s="106"/>
      <c r="G227" s="496"/>
      <c r="H227" s="91"/>
      <c r="I227" s="91"/>
      <c r="J227" s="91"/>
      <c r="K227" s="492"/>
      <c r="L227" s="91"/>
      <c r="M227" s="492"/>
      <c r="N227" s="82"/>
      <c r="O227" s="41"/>
      <c r="P227" s="497"/>
      <c r="Q227" s="84"/>
      <c r="R227" s="84"/>
      <c r="S227" s="498"/>
      <c r="T227" s="498"/>
      <c r="U227" s="498"/>
      <c r="V227" s="498"/>
      <c r="X227" s="451" t="s">
        <v>823</v>
      </c>
      <c r="Y227" s="452" t="s">
        <v>63</v>
      </c>
      <c r="Z227" s="453" t="s">
        <v>7</v>
      </c>
      <c r="AA227" s="453" t="s">
        <v>44</v>
      </c>
      <c r="AB227" s="697" t="s">
        <v>816</v>
      </c>
      <c r="AC227" s="454"/>
      <c r="AD227" s="671">
        <f>AD228</f>
        <v>2000</v>
      </c>
      <c r="AE227" s="671">
        <f t="shared" ref="AE227:AF227" si="63">AE228</f>
        <v>0</v>
      </c>
      <c r="AF227" s="671">
        <f t="shared" si="63"/>
        <v>0</v>
      </c>
      <c r="AG227" s="206"/>
      <c r="AH227" s="206"/>
      <c r="AI227" s="502"/>
    </row>
    <row r="228" spans="1:35" x14ac:dyDescent="0.25">
      <c r="A228" s="90"/>
      <c r="B228" s="493"/>
      <c r="C228" s="494"/>
      <c r="D228" s="494"/>
      <c r="E228" s="495"/>
      <c r="F228" s="106"/>
      <c r="G228" s="496"/>
      <c r="H228" s="91"/>
      <c r="I228" s="91"/>
      <c r="J228" s="91"/>
      <c r="K228" s="492"/>
      <c r="L228" s="91"/>
      <c r="M228" s="492"/>
      <c r="N228" s="82"/>
      <c r="O228" s="41"/>
      <c r="P228" s="497"/>
      <c r="Q228" s="84"/>
      <c r="R228" s="84"/>
      <c r="S228" s="498"/>
      <c r="T228" s="498"/>
      <c r="U228" s="498"/>
      <c r="V228" s="498"/>
      <c r="X228" s="451" t="s">
        <v>97</v>
      </c>
      <c r="Y228" s="452" t="s">
        <v>63</v>
      </c>
      <c r="Z228" s="453" t="s">
        <v>7</v>
      </c>
      <c r="AA228" s="453" t="s">
        <v>44</v>
      </c>
      <c r="AB228" s="697" t="s">
        <v>816</v>
      </c>
      <c r="AC228" s="454">
        <v>300</v>
      </c>
      <c r="AD228" s="671">
        <f>AD229</f>
        <v>2000</v>
      </c>
      <c r="AE228" s="671">
        <f t="shared" ref="AE228:AF228" si="64">AE229</f>
        <v>0</v>
      </c>
      <c r="AF228" s="671">
        <f t="shared" si="64"/>
        <v>0</v>
      </c>
      <c r="AG228" s="206"/>
      <c r="AH228" s="206"/>
      <c r="AI228" s="502"/>
    </row>
    <row r="229" spans="1:35" x14ac:dyDescent="0.25">
      <c r="A229" s="90"/>
      <c r="B229" s="493"/>
      <c r="C229" s="494"/>
      <c r="D229" s="494"/>
      <c r="E229" s="495"/>
      <c r="F229" s="106"/>
      <c r="G229" s="496"/>
      <c r="H229" s="91"/>
      <c r="I229" s="91"/>
      <c r="J229" s="91"/>
      <c r="K229" s="492"/>
      <c r="L229" s="91"/>
      <c r="M229" s="492"/>
      <c r="N229" s="82"/>
      <c r="O229" s="41"/>
      <c r="P229" s="497"/>
      <c r="Q229" s="84"/>
      <c r="R229" s="84"/>
      <c r="S229" s="498"/>
      <c r="T229" s="498"/>
      <c r="U229" s="498"/>
      <c r="V229" s="498"/>
      <c r="X229" s="451" t="s">
        <v>40</v>
      </c>
      <c r="Y229" s="452" t="s">
        <v>63</v>
      </c>
      <c r="Z229" s="453" t="s">
        <v>7</v>
      </c>
      <c r="AA229" s="453" t="s">
        <v>44</v>
      </c>
      <c r="AB229" s="697" t="s">
        <v>816</v>
      </c>
      <c r="AC229" s="454">
        <v>320</v>
      </c>
      <c r="AD229" s="671">
        <v>2000</v>
      </c>
      <c r="AE229" s="635">
        <v>0</v>
      </c>
      <c r="AF229" s="644">
        <v>0</v>
      </c>
      <c r="AG229" s="206"/>
      <c r="AH229" s="206"/>
      <c r="AI229" s="502"/>
    </row>
    <row r="230" spans="1:35" s="77" customFormat="1" x14ac:dyDescent="0.25">
      <c r="A230" s="68"/>
      <c r="B230" s="69"/>
      <c r="C230" s="71"/>
      <c r="D230" s="71"/>
      <c r="E230" s="72"/>
      <c r="F230" s="72"/>
      <c r="G230" s="73"/>
      <c r="H230" s="73"/>
      <c r="I230" s="73"/>
      <c r="J230" s="73"/>
      <c r="K230" s="73"/>
      <c r="L230" s="73"/>
      <c r="M230" s="73"/>
      <c r="N230" s="73"/>
      <c r="O230" s="107"/>
      <c r="P230" s="73"/>
      <c r="Q230" s="75"/>
      <c r="R230" s="95"/>
      <c r="S230" s="95"/>
      <c r="T230" s="95"/>
      <c r="U230" s="95"/>
      <c r="V230" s="95"/>
      <c r="W230" s="95"/>
      <c r="X230" s="650" t="s">
        <v>45</v>
      </c>
      <c r="Y230" s="448" t="s">
        <v>63</v>
      </c>
      <c r="Z230" s="471" t="s">
        <v>49</v>
      </c>
      <c r="AA230" s="471"/>
      <c r="AB230" s="539"/>
      <c r="AC230" s="476"/>
      <c r="AD230" s="668">
        <f>AD231+AD268+AI2146+AD246+AD253</f>
        <v>92336.5</v>
      </c>
      <c r="AE230" s="632">
        <f>AE231+AE268+AJ2146+AE246+AE253</f>
        <v>70083.7</v>
      </c>
      <c r="AF230" s="642">
        <f>AF231+AF268+AK2146+AF246+AF253</f>
        <v>68570.899999999994</v>
      </c>
      <c r="AG230" s="205"/>
      <c r="AH230" s="205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51" t="s">
        <v>71</v>
      </c>
      <c r="Y231" s="452" t="s">
        <v>63</v>
      </c>
      <c r="Z231" s="453" t="s">
        <v>49</v>
      </c>
      <c r="AA231" s="453" t="s">
        <v>16</v>
      </c>
      <c r="AB231" s="541"/>
      <c r="AC231" s="482"/>
      <c r="AD231" s="669">
        <f>AD239+AD232</f>
        <v>34883.700000000004</v>
      </c>
      <c r="AE231" s="633">
        <f>AE239+AE232</f>
        <v>30338.7</v>
      </c>
      <c r="AF231" s="643">
        <f>AF239+AF232</f>
        <v>30337.899999999998</v>
      </c>
      <c r="AG231" s="180"/>
      <c r="AH231" s="180"/>
      <c r="AI231" s="147"/>
    </row>
    <row r="232" spans="1:35" s="103" customFormat="1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57" t="s">
        <v>186</v>
      </c>
      <c r="Y232" s="452" t="s">
        <v>63</v>
      </c>
      <c r="Z232" s="469" t="s">
        <v>49</v>
      </c>
      <c r="AA232" s="469" t="s">
        <v>16</v>
      </c>
      <c r="AB232" s="542" t="s">
        <v>112</v>
      </c>
      <c r="AC232" s="470"/>
      <c r="AD232" s="669">
        <f t="shared" ref="AD232:AF237" si="65">AD233</f>
        <v>34882.9</v>
      </c>
      <c r="AE232" s="633">
        <f t="shared" si="65"/>
        <v>30337.3</v>
      </c>
      <c r="AF232" s="643">
        <f t="shared" si="65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57" t="s">
        <v>189</v>
      </c>
      <c r="Y233" s="452" t="s">
        <v>63</v>
      </c>
      <c r="Z233" s="469" t="s">
        <v>49</v>
      </c>
      <c r="AA233" s="469" t="s">
        <v>16</v>
      </c>
      <c r="AB233" s="542" t="s">
        <v>190</v>
      </c>
      <c r="AC233" s="470"/>
      <c r="AD233" s="669">
        <f t="shared" si="65"/>
        <v>34882.9</v>
      </c>
      <c r="AE233" s="633">
        <f t="shared" si="65"/>
        <v>30337.3</v>
      </c>
      <c r="AF233" s="643">
        <f t="shared" si="65"/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191</v>
      </c>
      <c r="Y234" s="452" t="s">
        <v>63</v>
      </c>
      <c r="Z234" s="469" t="s">
        <v>49</v>
      </c>
      <c r="AA234" s="469" t="s">
        <v>16</v>
      </c>
      <c r="AB234" s="542" t="s">
        <v>192</v>
      </c>
      <c r="AC234" s="470"/>
      <c r="AD234" s="669">
        <f t="shared" si="65"/>
        <v>34882.9</v>
      </c>
      <c r="AE234" s="633">
        <f t="shared" si="65"/>
        <v>30337.3</v>
      </c>
      <c r="AF234" s="643">
        <f t="shared" si="65"/>
        <v>30337.3</v>
      </c>
      <c r="AG234" s="180"/>
      <c r="AH234" s="180"/>
      <c r="AI234" s="147"/>
    </row>
    <row r="235" spans="1:35" s="103" customFormat="1" ht="31.5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65" t="s">
        <v>203</v>
      </c>
      <c r="Y235" s="452" t="s">
        <v>63</v>
      </c>
      <c r="Z235" s="469" t="s">
        <v>49</v>
      </c>
      <c r="AA235" s="469" t="s">
        <v>16</v>
      </c>
      <c r="AB235" s="544" t="s">
        <v>204</v>
      </c>
      <c r="AC235" s="470"/>
      <c r="AD235" s="669">
        <f t="shared" si="65"/>
        <v>34882.9</v>
      </c>
      <c r="AE235" s="633">
        <f t="shared" si="65"/>
        <v>30337.3</v>
      </c>
      <c r="AF235" s="643">
        <f t="shared" si="65"/>
        <v>30337.3</v>
      </c>
      <c r="AG235" s="180"/>
      <c r="AH235" s="180"/>
      <c r="AI235" s="147"/>
    </row>
    <row r="236" spans="1:35" s="103" customFormat="1" ht="47.25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5" t="s">
        <v>368</v>
      </c>
      <c r="Y236" s="452" t="s">
        <v>63</v>
      </c>
      <c r="Z236" s="469" t="s">
        <v>49</v>
      </c>
      <c r="AA236" s="469" t="s">
        <v>16</v>
      </c>
      <c r="AB236" s="544" t="s">
        <v>316</v>
      </c>
      <c r="AC236" s="470"/>
      <c r="AD236" s="669">
        <f t="shared" si="65"/>
        <v>34882.9</v>
      </c>
      <c r="AE236" s="633">
        <f t="shared" si="65"/>
        <v>30337.3</v>
      </c>
      <c r="AF236" s="643">
        <f t="shared" si="65"/>
        <v>30337.3</v>
      </c>
      <c r="AG236" s="180"/>
      <c r="AH236" s="180"/>
      <c r="AI236" s="147"/>
    </row>
    <row r="237" spans="1:35" s="103" customFormat="1" ht="31.5" x14ac:dyDescent="0.25">
      <c r="A237" s="47"/>
      <c r="B237" s="78"/>
      <c r="C237" s="79"/>
      <c r="D237" s="79"/>
      <c r="E237" s="80"/>
      <c r="F237" s="80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651" t="s">
        <v>60</v>
      </c>
      <c r="Y237" s="452" t="s">
        <v>63</v>
      </c>
      <c r="Z237" s="469" t="s">
        <v>49</v>
      </c>
      <c r="AA237" s="469" t="s">
        <v>16</v>
      </c>
      <c r="AB237" s="544" t="s">
        <v>316</v>
      </c>
      <c r="AC237" s="470">
        <v>600</v>
      </c>
      <c r="AD237" s="669">
        <f t="shared" si="65"/>
        <v>34882.9</v>
      </c>
      <c r="AE237" s="633">
        <f t="shared" si="65"/>
        <v>30337.3</v>
      </c>
      <c r="AF237" s="643">
        <f t="shared" si="65"/>
        <v>30337.3</v>
      </c>
      <c r="AG237" s="180"/>
      <c r="AH237" s="180"/>
      <c r="AI237" s="147"/>
    </row>
    <row r="238" spans="1:35" s="103" customFormat="1" x14ac:dyDescent="0.25">
      <c r="A238" s="47"/>
      <c r="B238" s="78"/>
      <c r="C238" s="79"/>
      <c r="D238" s="79"/>
      <c r="E238" s="80"/>
      <c r="F238" s="80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651" t="s">
        <v>61</v>
      </c>
      <c r="Y238" s="452" t="s">
        <v>63</v>
      </c>
      <c r="Z238" s="469" t="s">
        <v>49</v>
      </c>
      <c r="AA238" s="469" t="s">
        <v>16</v>
      </c>
      <c r="AB238" s="544" t="s">
        <v>316</v>
      </c>
      <c r="AC238" s="470">
        <v>610</v>
      </c>
      <c r="AD238" s="669">
        <f>33882.9+600+400</f>
        <v>34882.9</v>
      </c>
      <c r="AE238" s="633">
        <v>30337.3</v>
      </c>
      <c r="AF238" s="643">
        <v>30337.3</v>
      </c>
      <c r="AG238" s="180"/>
      <c r="AH238" s="180"/>
      <c r="AI238" s="147"/>
    </row>
    <row r="239" spans="1:35" s="103" customFormat="1" ht="31.5" x14ac:dyDescent="0.25">
      <c r="A239" s="47"/>
      <c r="B239" s="78"/>
      <c r="C239" s="79"/>
      <c r="D239" s="79"/>
      <c r="E239" s="80"/>
      <c r="F239" s="80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7" t="s">
        <v>226</v>
      </c>
      <c r="Y239" s="452" t="s">
        <v>63</v>
      </c>
      <c r="Z239" s="453" t="s">
        <v>49</v>
      </c>
      <c r="AA239" s="453" t="s">
        <v>16</v>
      </c>
      <c r="AB239" s="542" t="s">
        <v>227</v>
      </c>
      <c r="AC239" s="482"/>
      <c r="AD239" s="669">
        <f>AD240</f>
        <v>0.79999999999999993</v>
      </c>
      <c r="AE239" s="633">
        <f>AE240</f>
        <v>1.4000000000000001</v>
      </c>
      <c r="AF239" s="643">
        <f>AF240</f>
        <v>0.6</v>
      </c>
      <c r="AG239" s="180"/>
      <c r="AH239" s="180"/>
      <c r="AI239" s="147"/>
    </row>
    <row r="240" spans="1:35" s="103" customFormat="1" x14ac:dyDescent="0.25">
      <c r="A240" s="8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7" t="s">
        <v>228</v>
      </c>
      <c r="Y240" s="452" t="s">
        <v>63</v>
      </c>
      <c r="Z240" s="453" t="s">
        <v>49</v>
      </c>
      <c r="AA240" s="453" t="s">
        <v>16</v>
      </c>
      <c r="AB240" s="542" t="s">
        <v>229</v>
      </c>
      <c r="AC240" s="454"/>
      <c r="AD240" s="669">
        <f t="shared" ref="AD240:AF242" si="66">AD241</f>
        <v>0.79999999999999993</v>
      </c>
      <c r="AE240" s="633">
        <f t="shared" si="66"/>
        <v>1.4000000000000001</v>
      </c>
      <c r="AF240" s="643">
        <f t="shared" si="66"/>
        <v>0.6</v>
      </c>
      <c r="AG240" s="180"/>
      <c r="AH240" s="180"/>
      <c r="AI240" s="147"/>
    </row>
    <row r="241" spans="1:35" s="103" customFormat="1" x14ac:dyDescent="0.25">
      <c r="A241" s="8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66" t="s">
        <v>425</v>
      </c>
      <c r="Y241" s="452" t="s">
        <v>63</v>
      </c>
      <c r="Z241" s="453" t="s">
        <v>49</v>
      </c>
      <c r="AA241" s="453" t="s">
        <v>16</v>
      </c>
      <c r="AB241" s="542" t="s">
        <v>338</v>
      </c>
      <c r="AC241" s="454"/>
      <c r="AD241" s="669">
        <f t="shared" si="66"/>
        <v>0.79999999999999993</v>
      </c>
      <c r="AE241" s="633">
        <f t="shared" si="66"/>
        <v>1.4000000000000001</v>
      </c>
      <c r="AF241" s="643">
        <f t="shared" si="66"/>
        <v>0.6</v>
      </c>
      <c r="AG241" s="180"/>
      <c r="AH241" s="180"/>
      <c r="AI241" s="147"/>
    </row>
    <row r="242" spans="1:35" s="103" customFormat="1" ht="47.25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66" t="s">
        <v>230</v>
      </c>
      <c r="Y242" s="452" t="s">
        <v>63</v>
      </c>
      <c r="Z242" s="453" t="s">
        <v>49</v>
      </c>
      <c r="AA242" s="453" t="s">
        <v>16</v>
      </c>
      <c r="AB242" s="542" t="s">
        <v>339</v>
      </c>
      <c r="AC242" s="454"/>
      <c r="AD242" s="669">
        <f>AD243</f>
        <v>0.79999999999999993</v>
      </c>
      <c r="AE242" s="633">
        <f t="shared" si="66"/>
        <v>1.4000000000000001</v>
      </c>
      <c r="AF242" s="643">
        <f t="shared" si="66"/>
        <v>0.6</v>
      </c>
      <c r="AG242" s="180"/>
      <c r="AH242" s="180"/>
      <c r="AI242" s="147"/>
    </row>
    <row r="243" spans="1:35" s="103" customFormat="1" ht="47.25" x14ac:dyDescent="0.25">
      <c r="A243" s="88"/>
      <c r="B243" s="78"/>
      <c r="C243" s="79"/>
      <c r="D243" s="79"/>
      <c r="E243" s="80"/>
      <c r="F243" s="79"/>
      <c r="G243" s="81"/>
      <c r="H243" s="81"/>
      <c r="I243" s="81"/>
      <c r="J243" s="81"/>
      <c r="K243" s="81"/>
      <c r="L243" s="73"/>
      <c r="M243" s="81"/>
      <c r="N243" s="73"/>
      <c r="O243" s="82"/>
      <c r="P243" s="81"/>
      <c r="Q243" s="83"/>
      <c r="R243" s="87"/>
      <c r="S243" s="87"/>
      <c r="T243" s="87"/>
      <c r="U243" s="87"/>
      <c r="V243" s="87"/>
      <c r="W243" s="87"/>
      <c r="X243" s="466" t="s">
        <v>319</v>
      </c>
      <c r="Y243" s="452" t="s">
        <v>63</v>
      </c>
      <c r="Z243" s="453" t="s">
        <v>49</v>
      </c>
      <c r="AA243" s="453" t="s">
        <v>16</v>
      </c>
      <c r="AB243" s="542" t="s">
        <v>340</v>
      </c>
      <c r="AC243" s="454"/>
      <c r="AD243" s="669">
        <f t="shared" ref="AD243:AF244" si="67">AD244</f>
        <v>0.79999999999999993</v>
      </c>
      <c r="AE243" s="633">
        <f t="shared" si="67"/>
        <v>1.4000000000000001</v>
      </c>
      <c r="AF243" s="643">
        <f>AF244</f>
        <v>0.6</v>
      </c>
      <c r="AG243" s="180"/>
      <c r="AH243" s="180"/>
      <c r="AI243" s="147"/>
    </row>
    <row r="244" spans="1:35" s="103" customFormat="1" x14ac:dyDescent="0.25">
      <c r="A244" s="88"/>
      <c r="B244" s="78"/>
      <c r="C244" s="79"/>
      <c r="D244" s="79"/>
      <c r="E244" s="80"/>
      <c r="F244" s="79"/>
      <c r="G244" s="81"/>
      <c r="H244" s="81"/>
      <c r="I244" s="81"/>
      <c r="J244" s="81"/>
      <c r="K244" s="81"/>
      <c r="L244" s="73"/>
      <c r="M244" s="81"/>
      <c r="N244" s="73"/>
      <c r="O244" s="82"/>
      <c r="P244" s="81"/>
      <c r="Q244" s="83"/>
      <c r="R244" s="87"/>
      <c r="S244" s="87"/>
      <c r="T244" s="87"/>
      <c r="U244" s="87"/>
      <c r="V244" s="87"/>
      <c r="W244" s="87"/>
      <c r="X244" s="451" t="s">
        <v>120</v>
      </c>
      <c r="Y244" s="452" t="s">
        <v>63</v>
      </c>
      <c r="Z244" s="453" t="s">
        <v>49</v>
      </c>
      <c r="AA244" s="453" t="s">
        <v>16</v>
      </c>
      <c r="AB244" s="542" t="s">
        <v>340</v>
      </c>
      <c r="AC244" s="454">
        <v>200</v>
      </c>
      <c r="AD244" s="669">
        <f t="shared" si="67"/>
        <v>0.79999999999999993</v>
      </c>
      <c r="AE244" s="633">
        <f t="shared" si="67"/>
        <v>1.4000000000000001</v>
      </c>
      <c r="AF244" s="643">
        <f t="shared" si="67"/>
        <v>0.6</v>
      </c>
      <c r="AG244" s="180"/>
      <c r="AH244" s="180"/>
      <c r="AI244" s="147"/>
    </row>
    <row r="245" spans="1:35" s="103" customFormat="1" ht="20.25" customHeight="1" x14ac:dyDescent="0.25">
      <c r="A245" s="88"/>
      <c r="B245" s="78"/>
      <c r="C245" s="79"/>
      <c r="D245" s="79"/>
      <c r="E245" s="80"/>
      <c r="F245" s="79"/>
      <c r="G245" s="81"/>
      <c r="H245" s="81"/>
      <c r="I245" s="81"/>
      <c r="J245" s="81"/>
      <c r="K245" s="81"/>
      <c r="L245" s="73"/>
      <c r="M245" s="81"/>
      <c r="N245" s="73"/>
      <c r="O245" s="82"/>
      <c r="P245" s="81"/>
      <c r="Q245" s="83"/>
      <c r="R245" s="87"/>
      <c r="S245" s="87"/>
      <c r="T245" s="87"/>
      <c r="U245" s="87"/>
      <c r="V245" s="87"/>
      <c r="W245" s="87"/>
      <c r="X245" s="451" t="s">
        <v>52</v>
      </c>
      <c r="Y245" s="452" t="s">
        <v>63</v>
      </c>
      <c r="Z245" s="453" t="s">
        <v>49</v>
      </c>
      <c r="AA245" s="453" t="s">
        <v>16</v>
      </c>
      <c r="AB245" s="542" t="s">
        <v>340</v>
      </c>
      <c r="AC245" s="454">
        <v>240</v>
      </c>
      <c r="AD245" s="669">
        <f>0.1+0.7</f>
        <v>0.79999999999999993</v>
      </c>
      <c r="AE245" s="633">
        <f>0.1+1.3</f>
        <v>1.4000000000000001</v>
      </c>
      <c r="AF245" s="643">
        <v>0.6</v>
      </c>
      <c r="AG245" s="180"/>
      <c r="AH245" s="180"/>
      <c r="AI245" s="147"/>
    </row>
    <row r="246" spans="1:35" s="103" customFormat="1" ht="18.75" x14ac:dyDescent="0.3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1" t="s">
        <v>93</v>
      </c>
      <c r="Y246" s="452" t="s">
        <v>63</v>
      </c>
      <c r="Z246" s="453" t="s">
        <v>49</v>
      </c>
      <c r="AA246" s="453" t="s">
        <v>22</v>
      </c>
      <c r="AB246" s="547"/>
      <c r="AC246" s="483"/>
      <c r="AD246" s="669">
        <f t="shared" ref="AD246:AF247" si="68">AD247</f>
        <v>52146.1</v>
      </c>
      <c r="AE246" s="633">
        <f t="shared" si="68"/>
        <v>36365</v>
      </c>
      <c r="AF246" s="643">
        <f t="shared" si="68"/>
        <v>37856</v>
      </c>
      <c r="AG246" s="180"/>
      <c r="AH246" s="180"/>
      <c r="AI246" s="147"/>
    </row>
    <row r="247" spans="1:35" s="103" customFormat="1" ht="31.5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7" t="s">
        <v>226</v>
      </c>
      <c r="Y247" s="467" t="s">
        <v>63</v>
      </c>
      <c r="Z247" s="472" t="s">
        <v>49</v>
      </c>
      <c r="AA247" s="472" t="s">
        <v>22</v>
      </c>
      <c r="AB247" s="542" t="s">
        <v>227</v>
      </c>
      <c r="AC247" s="482"/>
      <c r="AD247" s="669">
        <f>AD248</f>
        <v>52146.1</v>
      </c>
      <c r="AE247" s="633">
        <f t="shared" si="68"/>
        <v>36365</v>
      </c>
      <c r="AF247" s="643">
        <f t="shared" si="68"/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7" t="s">
        <v>48</v>
      </c>
      <c r="Y248" s="452" t="s">
        <v>63</v>
      </c>
      <c r="Z248" s="472" t="s">
        <v>49</v>
      </c>
      <c r="AA248" s="472" t="s">
        <v>22</v>
      </c>
      <c r="AB248" s="542" t="s">
        <v>341</v>
      </c>
      <c r="AC248" s="454"/>
      <c r="AD248" s="669">
        <f t="shared" ref="AD248:AF251" si="69">AD249</f>
        <v>52146.1</v>
      </c>
      <c r="AE248" s="633">
        <f t="shared" si="69"/>
        <v>36365</v>
      </c>
      <c r="AF248" s="643">
        <f t="shared" si="69"/>
        <v>37856</v>
      </c>
      <c r="AG248" s="180"/>
      <c r="AH248" s="180"/>
      <c r="AI248" s="147"/>
    </row>
    <row r="249" spans="1:35" s="103" customFormat="1" ht="31.5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191</v>
      </c>
      <c r="Y249" s="452" t="s">
        <v>63</v>
      </c>
      <c r="Z249" s="472" t="s">
        <v>49</v>
      </c>
      <c r="AA249" s="472" t="s">
        <v>22</v>
      </c>
      <c r="AB249" s="542" t="s">
        <v>342</v>
      </c>
      <c r="AC249" s="454"/>
      <c r="AD249" s="669">
        <f t="shared" si="69"/>
        <v>52146.1</v>
      </c>
      <c r="AE249" s="633">
        <f t="shared" si="69"/>
        <v>36365</v>
      </c>
      <c r="AF249" s="643">
        <f t="shared" si="69"/>
        <v>37856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65" t="s">
        <v>706</v>
      </c>
      <c r="Y250" s="452" t="s">
        <v>63</v>
      </c>
      <c r="Z250" s="472" t="s">
        <v>49</v>
      </c>
      <c r="AA250" s="472" t="s">
        <v>22</v>
      </c>
      <c r="AB250" s="542" t="s">
        <v>705</v>
      </c>
      <c r="AC250" s="454"/>
      <c r="AD250" s="669">
        <f>AD251</f>
        <v>52146.1</v>
      </c>
      <c r="AE250" s="633">
        <f>AE251</f>
        <v>36365</v>
      </c>
      <c r="AF250" s="643">
        <f>AF251</f>
        <v>37856</v>
      </c>
      <c r="AG250" s="180"/>
      <c r="AH250" s="180"/>
      <c r="AI250" s="147"/>
    </row>
    <row r="251" spans="1:35" s="103" customFormat="1" ht="31.5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651" t="s">
        <v>60</v>
      </c>
      <c r="Y251" s="452" t="s">
        <v>63</v>
      </c>
      <c r="Z251" s="472" t="s">
        <v>49</v>
      </c>
      <c r="AA251" s="472" t="s">
        <v>22</v>
      </c>
      <c r="AB251" s="542" t="s">
        <v>705</v>
      </c>
      <c r="AC251" s="454">
        <v>600</v>
      </c>
      <c r="AD251" s="669">
        <f t="shared" si="69"/>
        <v>52146.1</v>
      </c>
      <c r="AE251" s="633">
        <f t="shared" si="69"/>
        <v>36365</v>
      </c>
      <c r="AF251" s="643">
        <f t="shared" si="69"/>
        <v>37856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651" t="s">
        <v>61</v>
      </c>
      <c r="Y252" s="452" t="s">
        <v>63</v>
      </c>
      <c r="Z252" s="472" t="s">
        <v>49</v>
      </c>
      <c r="AA252" s="472" t="s">
        <v>22</v>
      </c>
      <c r="AB252" s="542" t="s">
        <v>705</v>
      </c>
      <c r="AC252" s="454">
        <v>610</v>
      </c>
      <c r="AD252" s="669">
        <f>35000+18000-853.9</f>
        <v>52146.1</v>
      </c>
      <c r="AE252" s="633">
        <v>36365</v>
      </c>
      <c r="AF252" s="643">
        <v>37856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32</v>
      </c>
      <c r="Y253" s="452" t="s">
        <v>63</v>
      </c>
      <c r="Z253" s="474" t="s">
        <v>49</v>
      </c>
      <c r="AA253" s="474">
        <v>10</v>
      </c>
      <c r="AB253" s="548"/>
      <c r="AC253" s="454"/>
      <c r="AD253" s="669">
        <f>AD254</f>
        <v>3822</v>
      </c>
      <c r="AE253" s="633">
        <f t="shared" ref="AD253:AF254" si="70">AE254</f>
        <v>3003</v>
      </c>
      <c r="AF253" s="643">
        <f t="shared" si="70"/>
        <v>0</v>
      </c>
      <c r="AG253" s="180"/>
      <c r="AH253" s="180"/>
      <c r="AI253" s="147"/>
    </row>
    <row r="254" spans="1:35" s="103" customFormat="1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7" t="s">
        <v>233</v>
      </c>
      <c r="Y254" s="452" t="s">
        <v>63</v>
      </c>
      <c r="Z254" s="474" t="s">
        <v>49</v>
      </c>
      <c r="AA254" s="474">
        <v>10</v>
      </c>
      <c r="AB254" s="542" t="s">
        <v>234</v>
      </c>
      <c r="AC254" s="454"/>
      <c r="AD254" s="669">
        <f t="shared" si="70"/>
        <v>3822</v>
      </c>
      <c r="AE254" s="633">
        <f t="shared" si="70"/>
        <v>3003</v>
      </c>
      <c r="AF254" s="643">
        <f t="shared" si="70"/>
        <v>0</v>
      </c>
      <c r="AG254" s="180"/>
      <c r="AH254" s="180"/>
      <c r="AI254" s="147"/>
    </row>
    <row r="255" spans="1:35" s="103" customFormat="1" ht="31.5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236</v>
      </c>
      <c r="Y255" s="452" t="s">
        <v>63</v>
      </c>
      <c r="Z255" s="474" t="s">
        <v>49</v>
      </c>
      <c r="AA255" s="474">
        <v>10</v>
      </c>
      <c r="AB255" s="542" t="s">
        <v>237</v>
      </c>
      <c r="AC255" s="463"/>
      <c r="AD255" s="669">
        <f>AD256+AD264+AD260</f>
        <v>3822</v>
      </c>
      <c r="AE255" s="633">
        <f>AE256+AE264+AE260</f>
        <v>3003</v>
      </c>
      <c r="AF255" s="643">
        <f>AF256+AF264+AF260</f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57" t="s">
        <v>371</v>
      </c>
      <c r="Y256" s="452" t="s">
        <v>63</v>
      </c>
      <c r="Z256" s="474" t="s">
        <v>49</v>
      </c>
      <c r="AA256" s="474">
        <v>10</v>
      </c>
      <c r="AB256" s="542" t="s">
        <v>372</v>
      </c>
      <c r="AC256" s="463"/>
      <c r="AD256" s="669">
        <f t="shared" ref="AD256:AF258" si="71">AD257</f>
        <v>3172</v>
      </c>
      <c r="AE256" s="633">
        <f t="shared" si="71"/>
        <v>2593</v>
      </c>
      <c r="AF256" s="643">
        <f t="shared" si="71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65" t="s">
        <v>373</v>
      </c>
      <c r="Y257" s="452" t="s">
        <v>63</v>
      </c>
      <c r="Z257" s="474" t="s">
        <v>49</v>
      </c>
      <c r="AA257" s="474">
        <v>10</v>
      </c>
      <c r="AB257" s="542" t="s">
        <v>374</v>
      </c>
      <c r="AC257" s="572"/>
      <c r="AD257" s="669">
        <f t="shared" si="71"/>
        <v>3172</v>
      </c>
      <c r="AE257" s="633">
        <f t="shared" si="71"/>
        <v>2593</v>
      </c>
      <c r="AF257" s="643">
        <f t="shared" si="71"/>
        <v>0</v>
      </c>
      <c r="AG257" s="180"/>
      <c r="AH257" s="180"/>
      <c r="AI257" s="147"/>
    </row>
    <row r="258" spans="1:35" s="103" customFormat="1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120</v>
      </c>
      <c r="Y258" s="452" t="s">
        <v>63</v>
      </c>
      <c r="Z258" s="474" t="s">
        <v>49</v>
      </c>
      <c r="AA258" s="474">
        <v>10</v>
      </c>
      <c r="AB258" s="542" t="s">
        <v>374</v>
      </c>
      <c r="AC258" s="454">
        <v>200</v>
      </c>
      <c r="AD258" s="669">
        <f t="shared" si="71"/>
        <v>3172</v>
      </c>
      <c r="AE258" s="633">
        <f t="shared" si="71"/>
        <v>2593</v>
      </c>
      <c r="AF258" s="643">
        <f t="shared" si="71"/>
        <v>0</v>
      </c>
      <c r="AG258" s="180"/>
      <c r="AH258" s="180"/>
      <c r="AI258" s="147"/>
    </row>
    <row r="259" spans="1:35" s="103" customFormat="1" ht="31.5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1" t="s">
        <v>52</v>
      </c>
      <c r="Y259" s="452" t="s">
        <v>63</v>
      </c>
      <c r="Z259" s="474" t="s">
        <v>49</v>
      </c>
      <c r="AA259" s="474">
        <v>10</v>
      </c>
      <c r="AB259" s="542" t="s">
        <v>374</v>
      </c>
      <c r="AC259" s="454">
        <v>240</v>
      </c>
      <c r="AD259" s="669">
        <f>2593+63.5+115.5+400</f>
        <v>3172</v>
      </c>
      <c r="AE259" s="633">
        <v>2593</v>
      </c>
      <c r="AF259" s="643">
        <v>0</v>
      </c>
      <c r="AG259" s="266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57" t="s">
        <v>389</v>
      </c>
      <c r="Y260" s="452" t="s">
        <v>63</v>
      </c>
      <c r="Z260" s="474" t="s">
        <v>49</v>
      </c>
      <c r="AA260" s="474">
        <v>10</v>
      </c>
      <c r="AB260" s="542" t="s">
        <v>390</v>
      </c>
      <c r="AC260" s="454"/>
      <c r="AD260" s="669">
        <f t="shared" ref="AD260:AF262" si="72">AD261</f>
        <v>350</v>
      </c>
      <c r="AE260" s="633">
        <f t="shared" si="72"/>
        <v>110</v>
      </c>
      <c r="AF260" s="643">
        <f t="shared" si="72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65" t="s">
        <v>391</v>
      </c>
      <c r="Y261" s="452" t="s">
        <v>63</v>
      </c>
      <c r="Z261" s="474" t="s">
        <v>49</v>
      </c>
      <c r="AA261" s="474">
        <v>10</v>
      </c>
      <c r="AB261" s="542" t="s">
        <v>392</v>
      </c>
      <c r="AC261" s="454"/>
      <c r="AD261" s="669">
        <f t="shared" si="72"/>
        <v>350</v>
      </c>
      <c r="AE261" s="633">
        <f t="shared" si="72"/>
        <v>110</v>
      </c>
      <c r="AF261" s="643">
        <f t="shared" si="72"/>
        <v>0</v>
      </c>
      <c r="AG261" s="180"/>
      <c r="AH261" s="180"/>
      <c r="AI261" s="147"/>
    </row>
    <row r="262" spans="1:35" s="103" customFormat="1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120</v>
      </c>
      <c r="Y262" s="452" t="s">
        <v>63</v>
      </c>
      <c r="Z262" s="474" t="s">
        <v>49</v>
      </c>
      <c r="AA262" s="474">
        <v>10</v>
      </c>
      <c r="AB262" s="542" t="s">
        <v>392</v>
      </c>
      <c r="AC262" s="454">
        <v>200</v>
      </c>
      <c r="AD262" s="669">
        <f t="shared" si="72"/>
        <v>350</v>
      </c>
      <c r="AE262" s="633">
        <f t="shared" si="72"/>
        <v>110</v>
      </c>
      <c r="AF262" s="643">
        <f t="shared" si="72"/>
        <v>0</v>
      </c>
      <c r="AG262" s="180"/>
      <c r="AH262" s="180"/>
      <c r="AI262" s="147"/>
    </row>
    <row r="263" spans="1:35" s="103" customFormat="1" ht="31.5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52</v>
      </c>
      <c r="Y263" s="452" t="s">
        <v>63</v>
      </c>
      <c r="Z263" s="474" t="s">
        <v>49</v>
      </c>
      <c r="AA263" s="474">
        <v>10</v>
      </c>
      <c r="AB263" s="542" t="s">
        <v>392</v>
      </c>
      <c r="AC263" s="454">
        <v>240</v>
      </c>
      <c r="AD263" s="669">
        <f>110+240</f>
        <v>350</v>
      </c>
      <c r="AE263" s="633">
        <v>110</v>
      </c>
      <c r="AF263" s="643">
        <v>0</v>
      </c>
      <c r="AG263" s="180"/>
      <c r="AH263" s="180"/>
      <c r="AI263" s="147"/>
    </row>
    <row r="264" spans="1:35" s="103" customFormat="1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375</v>
      </c>
      <c r="Y264" s="452" t="s">
        <v>63</v>
      </c>
      <c r="Z264" s="474" t="s">
        <v>49</v>
      </c>
      <c r="AA264" s="474">
        <v>10</v>
      </c>
      <c r="AB264" s="542" t="s">
        <v>376</v>
      </c>
      <c r="AC264" s="454"/>
      <c r="AD264" s="669">
        <f t="shared" ref="AD264:AF266" si="73">AD265</f>
        <v>300</v>
      </c>
      <c r="AE264" s="633">
        <f t="shared" si="73"/>
        <v>300</v>
      </c>
      <c r="AF264" s="643">
        <f t="shared" si="73"/>
        <v>0</v>
      </c>
      <c r="AG264" s="180"/>
      <c r="AH264" s="180"/>
      <c r="AI264" s="147"/>
    </row>
    <row r="265" spans="1:35" s="103" customFormat="1" x14ac:dyDescent="0.25">
      <c r="A265" s="108"/>
      <c r="B265" s="78"/>
      <c r="C265" s="79"/>
      <c r="D265" s="79"/>
      <c r="E265" s="80"/>
      <c r="F265" s="79"/>
      <c r="G265" s="81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65" t="s">
        <v>377</v>
      </c>
      <c r="Y265" s="452" t="s">
        <v>63</v>
      </c>
      <c r="Z265" s="474" t="s">
        <v>49</v>
      </c>
      <c r="AA265" s="474">
        <v>10</v>
      </c>
      <c r="AB265" s="542" t="s">
        <v>378</v>
      </c>
      <c r="AC265" s="454"/>
      <c r="AD265" s="669">
        <f t="shared" si="73"/>
        <v>300</v>
      </c>
      <c r="AE265" s="633">
        <f t="shared" si="73"/>
        <v>300</v>
      </c>
      <c r="AF265" s="643">
        <f t="shared" si="73"/>
        <v>0</v>
      </c>
      <c r="AG265" s="180"/>
      <c r="AH265" s="180"/>
      <c r="AI265" s="147"/>
    </row>
    <row r="266" spans="1:35" s="103" customFormat="1" x14ac:dyDescent="0.25">
      <c r="A266" s="108"/>
      <c r="B266" s="78"/>
      <c r="C266" s="79"/>
      <c r="D266" s="79"/>
      <c r="E266" s="80"/>
      <c r="F266" s="79"/>
      <c r="G266" s="81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51" t="s">
        <v>120</v>
      </c>
      <c r="Y266" s="452" t="s">
        <v>63</v>
      </c>
      <c r="Z266" s="474" t="s">
        <v>49</v>
      </c>
      <c r="AA266" s="474">
        <v>10</v>
      </c>
      <c r="AB266" s="542" t="s">
        <v>378</v>
      </c>
      <c r="AC266" s="454">
        <v>200</v>
      </c>
      <c r="AD266" s="669">
        <f t="shared" si="73"/>
        <v>300</v>
      </c>
      <c r="AE266" s="633">
        <f t="shared" si="73"/>
        <v>300</v>
      </c>
      <c r="AF266" s="643">
        <f t="shared" si="73"/>
        <v>0</v>
      </c>
      <c r="AG266" s="180"/>
      <c r="AH266" s="180"/>
      <c r="AI266" s="147"/>
    </row>
    <row r="267" spans="1:35" s="103" customFormat="1" ht="31.5" x14ac:dyDescent="0.25">
      <c r="A267" s="108"/>
      <c r="B267" s="78"/>
      <c r="C267" s="79"/>
      <c r="D267" s="79"/>
      <c r="E267" s="80"/>
      <c r="F267" s="79"/>
      <c r="G267" s="81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51" t="s">
        <v>52</v>
      </c>
      <c r="Y267" s="452" t="s">
        <v>63</v>
      </c>
      <c r="Z267" s="474" t="s">
        <v>49</v>
      </c>
      <c r="AA267" s="474">
        <v>10</v>
      </c>
      <c r="AB267" s="542" t="s">
        <v>378</v>
      </c>
      <c r="AC267" s="454">
        <v>240</v>
      </c>
      <c r="AD267" s="669">
        <v>300</v>
      </c>
      <c r="AE267" s="633">
        <v>300</v>
      </c>
      <c r="AF267" s="643">
        <v>0</v>
      </c>
      <c r="AG267" s="180"/>
      <c r="AH267" s="180"/>
      <c r="AI267" s="147"/>
    </row>
    <row r="268" spans="1:35" s="103" customFormat="1" x14ac:dyDescent="0.25">
      <c r="A268" s="109"/>
      <c r="B268" s="25"/>
      <c r="C268" s="1"/>
      <c r="D268" s="1"/>
      <c r="E268" s="2"/>
      <c r="F268" s="2"/>
      <c r="G268" s="110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51</v>
      </c>
      <c r="Y268" s="452" t="s">
        <v>63</v>
      </c>
      <c r="Z268" s="453" t="s">
        <v>49</v>
      </c>
      <c r="AA268" s="453">
        <v>12</v>
      </c>
      <c r="AB268" s="549"/>
      <c r="AC268" s="454"/>
      <c r="AD268" s="669">
        <f>AD269+AD278</f>
        <v>1484.7</v>
      </c>
      <c r="AE268" s="669">
        <f t="shared" ref="AE268:AF268" si="74">AE269+AE278</f>
        <v>377</v>
      </c>
      <c r="AF268" s="669">
        <f t="shared" si="74"/>
        <v>377</v>
      </c>
      <c r="AG268" s="180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7" t="s">
        <v>161</v>
      </c>
      <c r="Y269" s="452" t="s">
        <v>63</v>
      </c>
      <c r="Z269" s="453" t="s">
        <v>49</v>
      </c>
      <c r="AA269" s="453">
        <v>12</v>
      </c>
      <c r="AB269" s="541" t="s">
        <v>102</v>
      </c>
      <c r="AC269" s="454"/>
      <c r="AD269" s="669">
        <f t="shared" ref="AD269:AF270" si="75">AD270</f>
        <v>984.7</v>
      </c>
      <c r="AE269" s="633">
        <f t="shared" si="75"/>
        <v>377</v>
      </c>
      <c r="AF269" s="643">
        <f t="shared" si="75"/>
        <v>377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7" t="s">
        <v>162</v>
      </c>
      <c r="Y270" s="452" t="s">
        <v>63</v>
      </c>
      <c r="Z270" s="453" t="s">
        <v>49</v>
      </c>
      <c r="AA270" s="453">
        <v>12</v>
      </c>
      <c r="AB270" s="541" t="s">
        <v>106</v>
      </c>
      <c r="AC270" s="454"/>
      <c r="AD270" s="669">
        <f t="shared" si="75"/>
        <v>984.7</v>
      </c>
      <c r="AE270" s="633">
        <f t="shared" si="75"/>
        <v>377</v>
      </c>
      <c r="AF270" s="643">
        <f t="shared" si="75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658" t="s">
        <v>527</v>
      </c>
      <c r="Y271" s="452" t="s">
        <v>63</v>
      </c>
      <c r="Z271" s="453" t="s">
        <v>49</v>
      </c>
      <c r="AA271" s="453">
        <v>12</v>
      </c>
      <c r="AB271" s="541" t="s">
        <v>335</v>
      </c>
      <c r="AC271" s="473"/>
      <c r="AD271" s="669">
        <f>AD272+AD275</f>
        <v>984.7</v>
      </c>
      <c r="AE271" s="633">
        <f>AE272+AE275</f>
        <v>377</v>
      </c>
      <c r="AF271" s="643">
        <f>AF272+AF275</f>
        <v>377</v>
      </c>
      <c r="AG271" s="180"/>
      <c r="AH271" s="180"/>
      <c r="AI271" s="147"/>
    </row>
    <row r="272" spans="1:35" s="103" customFormat="1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66" t="s">
        <v>246</v>
      </c>
      <c r="Y272" s="452" t="s">
        <v>63</v>
      </c>
      <c r="Z272" s="453" t="s">
        <v>49</v>
      </c>
      <c r="AA272" s="453">
        <v>12</v>
      </c>
      <c r="AB272" s="542" t="s">
        <v>334</v>
      </c>
      <c r="AC272" s="482"/>
      <c r="AD272" s="669">
        <f t="shared" ref="AD272:AF273" si="76">AD273</f>
        <v>607.70000000000005</v>
      </c>
      <c r="AE272" s="633">
        <f t="shared" si="76"/>
        <v>0</v>
      </c>
      <c r="AF272" s="643">
        <f t="shared" si="76"/>
        <v>0</v>
      </c>
      <c r="AG272" s="180"/>
      <c r="AH272" s="180"/>
      <c r="AI272" s="147"/>
    </row>
    <row r="273" spans="1:35" s="103" customFormat="1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51" t="s">
        <v>120</v>
      </c>
      <c r="Y273" s="452" t="s">
        <v>63</v>
      </c>
      <c r="Z273" s="453" t="s">
        <v>49</v>
      </c>
      <c r="AA273" s="453">
        <v>12</v>
      </c>
      <c r="AB273" s="542" t="s">
        <v>334</v>
      </c>
      <c r="AC273" s="454">
        <v>200</v>
      </c>
      <c r="AD273" s="669">
        <f t="shared" si="76"/>
        <v>607.70000000000005</v>
      </c>
      <c r="AE273" s="633">
        <f t="shared" si="76"/>
        <v>0</v>
      </c>
      <c r="AF273" s="643">
        <f t="shared" si="76"/>
        <v>0</v>
      </c>
      <c r="AG273" s="269"/>
      <c r="AH273" s="180"/>
      <c r="AI273" s="147"/>
    </row>
    <row r="274" spans="1:35" s="103" customFormat="1" ht="31.5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51" t="s">
        <v>52</v>
      </c>
      <c r="Y274" s="452" t="s">
        <v>63</v>
      </c>
      <c r="Z274" s="453" t="s">
        <v>49</v>
      </c>
      <c r="AA274" s="453">
        <v>12</v>
      </c>
      <c r="AB274" s="542" t="s">
        <v>334</v>
      </c>
      <c r="AC274" s="454">
        <v>240</v>
      </c>
      <c r="AD274" s="669">
        <v>607.70000000000005</v>
      </c>
      <c r="AE274" s="633">
        <v>0</v>
      </c>
      <c r="AF274" s="643">
        <v>0</v>
      </c>
      <c r="AG274" s="180"/>
      <c r="AH274" s="180"/>
      <c r="AI274" s="147"/>
    </row>
    <row r="275" spans="1:35" s="103" customFormat="1" ht="47.25" x14ac:dyDescent="0.25">
      <c r="A275" s="47"/>
      <c r="B275" s="78"/>
      <c r="C275" s="79"/>
      <c r="D275" s="79"/>
      <c r="E275" s="80"/>
      <c r="F275" s="80"/>
      <c r="G275" s="84"/>
      <c r="H275" s="105"/>
      <c r="I275" s="49"/>
      <c r="J275" s="49"/>
      <c r="K275" s="49"/>
      <c r="L275" s="73"/>
      <c r="M275" s="49"/>
      <c r="N275" s="73"/>
      <c r="O275" s="82"/>
      <c r="P275" s="81"/>
      <c r="Q275" s="83"/>
      <c r="R275" s="87"/>
      <c r="S275" s="87"/>
      <c r="T275" s="87"/>
      <c r="U275" s="87"/>
      <c r="V275" s="87"/>
      <c r="W275" s="105"/>
      <c r="X275" s="451" t="s">
        <v>359</v>
      </c>
      <c r="Y275" s="452" t="s">
        <v>63</v>
      </c>
      <c r="Z275" s="453" t="s">
        <v>49</v>
      </c>
      <c r="AA275" s="453">
        <v>12</v>
      </c>
      <c r="AB275" s="541" t="s">
        <v>358</v>
      </c>
      <c r="AC275" s="454"/>
      <c r="AD275" s="669">
        <f t="shared" ref="AD275:AF276" si="77">AD276</f>
        <v>377</v>
      </c>
      <c r="AE275" s="633">
        <f t="shared" si="77"/>
        <v>377</v>
      </c>
      <c r="AF275" s="643">
        <f t="shared" si="77"/>
        <v>377</v>
      </c>
      <c r="AG275" s="180"/>
      <c r="AH275" s="180"/>
      <c r="AI275" s="147"/>
    </row>
    <row r="276" spans="1:35" s="103" customFormat="1" x14ac:dyDescent="0.25">
      <c r="A276" s="47"/>
      <c r="B276" s="78"/>
      <c r="C276" s="79"/>
      <c r="D276" s="79"/>
      <c r="E276" s="80"/>
      <c r="F276" s="80"/>
      <c r="G276" s="84"/>
      <c r="H276" s="105"/>
      <c r="I276" s="49"/>
      <c r="J276" s="49"/>
      <c r="K276" s="49"/>
      <c r="L276" s="73"/>
      <c r="M276" s="49"/>
      <c r="N276" s="73"/>
      <c r="O276" s="82"/>
      <c r="P276" s="81"/>
      <c r="Q276" s="83"/>
      <c r="R276" s="87"/>
      <c r="S276" s="87"/>
      <c r="T276" s="87"/>
      <c r="U276" s="87"/>
      <c r="V276" s="87"/>
      <c r="W276" s="105"/>
      <c r="X276" s="451" t="s">
        <v>120</v>
      </c>
      <c r="Y276" s="452" t="s">
        <v>63</v>
      </c>
      <c r="Z276" s="453" t="s">
        <v>49</v>
      </c>
      <c r="AA276" s="453">
        <v>12</v>
      </c>
      <c r="AB276" s="541" t="s">
        <v>358</v>
      </c>
      <c r="AC276" s="454">
        <v>200</v>
      </c>
      <c r="AD276" s="669">
        <f t="shared" si="77"/>
        <v>377</v>
      </c>
      <c r="AE276" s="633">
        <f t="shared" si="77"/>
        <v>377</v>
      </c>
      <c r="AF276" s="643">
        <f t="shared" si="77"/>
        <v>377</v>
      </c>
      <c r="AG276" s="180"/>
      <c r="AH276" s="180"/>
      <c r="AI276" s="147"/>
    </row>
    <row r="277" spans="1:35" s="103" customFormat="1" ht="31.5" x14ac:dyDescent="0.25">
      <c r="A277" s="47"/>
      <c r="B277" s="78"/>
      <c r="C277" s="79"/>
      <c r="D277" s="79"/>
      <c r="E277" s="80"/>
      <c r="F277" s="80"/>
      <c r="G277" s="84"/>
      <c r="H277" s="105"/>
      <c r="I277" s="49"/>
      <c r="J277" s="49"/>
      <c r="K277" s="49"/>
      <c r="L277" s="73"/>
      <c r="M277" s="49"/>
      <c r="N277" s="73"/>
      <c r="O277" s="82"/>
      <c r="P277" s="81"/>
      <c r="Q277" s="83"/>
      <c r="R277" s="87"/>
      <c r="S277" s="87"/>
      <c r="T277" s="87"/>
      <c r="U277" s="87"/>
      <c r="V277" s="87"/>
      <c r="W277" s="105"/>
      <c r="X277" s="451" t="s">
        <v>52</v>
      </c>
      <c r="Y277" s="452" t="s">
        <v>63</v>
      </c>
      <c r="Z277" s="453" t="s">
        <v>49</v>
      </c>
      <c r="AA277" s="453">
        <v>12</v>
      </c>
      <c r="AB277" s="541" t="s">
        <v>358</v>
      </c>
      <c r="AC277" s="454">
        <v>240</v>
      </c>
      <c r="AD277" s="669">
        <v>377</v>
      </c>
      <c r="AE277" s="633">
        <v>377</v>
      </c>
      <c r="AF277" s="643">
        <v>377</v>
      </c>
      <c r="AG277" s="180"/>
      <c r="AH277" s="180"/>
      <c r="AI277" s="147"/>
    </row>
    <row r="278" spans="1:35" s="500" customFormat="1" x14ac:dyDescent="0.25">
      <c r="A278" s="491"/>
      <c r="B278" s="493"/>
      <c r="C278" s="494"/>
      <c r="D278" s="494"/>
      <c r="E278" s="495"/>
      <c r="F278" s="495"/>
      <c r="G278" s="84"/>
      <c r="H278" s="105"/>
      <c r="I278" s="49"/>
      <c r="J278" s="49"/>
      <c r="K278" s="49"/>
      <c r="L278" s="492"/>
      <c r="M278" s="49"/>
      <c r="N278" s="492"/>
      <c r="O278" s="82"/>
      <c r="P278" s="496"/>
      <c r="Q278" s="497"/>
      <c r="R278" s="498"/>
      <c r="S278" s="498"/>
      <c r="T278" s="498"/>
      <c r="U278" s="498"/>
      <c r="V278" s="498"/>
      <c r="W278" s="105"/>
      <c r="X278" s="716" t="s">
        <v>882</v>
      </c>
      <c r="Y278" s="511" t="s">
        <v>63</v>
      </c>
      <c r="Z278" s="515" t="s">
        <v>49</v>
      </c>
      <c r="AA278" s="515">
        <v>12</v>
      </c>
      <c r="AB278" s="512" t="s">
        <v>883</v>
      </c>
      <c r="AC278" s="516"/>
      <c r="AD278" s="669">
        <f>AD279</f>
        <v>500</v>
      </c>
      <c r="AE278" s="669">
        <f t="shared" ref="AE278:AF282" si="78">AE279</f>
        <v>0</v>
      </c>
      <c r="AF278" s="669">
        <f t="shared" si="78"/>
        <v>0</v>
      </c>
      <c r="AG278" s="506"/>
      <c r="AH278" s="506"/>
      <c r="AI278" s="502"/>
    </row>
    <row r="279" spans="1:35" s="500" customFormat="1" x14ac:dyDescent="0.25">
      <c r="A279" s="491"/>
      <c r="B279" s="493"/>
      <c r="C279" s="494"/>
      <c r="D279" s="494"/>
      <c r="E279" s="495"/>
      <c r="F279" s="495"/>
      <c r="G279" s="84"/>
      <c r="H279" s="105"/>
      <c r="I279" s="49"/>
      <c r="J279" s="49"/>
      <c r="K279" s="49"/>
      <c r="L279" s="492"/>
      <c r="M279" s="49"/>
      <c r="N279" s="492"/>
      <c r="O279" s="82"/>
      <c r="P279" s="496"/>
      <c r="Q279" s="497"/>
      <c r="R279" s="498"/>
      <c r="S279" s="498"/>
      <c r="T279" s="498"/>
      <c r="U279" s="498"/>
      <c r="V279" s="498"/>
      <c r="W279" s="105"/>
      <c r="X279" s="514" t="s">
        <v>884</v>
      </c>
      <c r="Y279" s="511" t="s">
        <v>63</v>
      </c>
      <c r="Z279" s="515" t="s">
        <v>49</v>
      </c>
      <c r="AA279" s="515">
        <v>12</v>
      </c>
      <c r="AB279" s="512" t="s">
        <v>885</v>
      </c>
      <c r="AC279" s="516"/>
      <c r="AD279" s="669">
        <f>AD280</f>
        <v>500</v>
      </c>
      <c r="AE279" s="669">
        <f t="shared" si="78"/>
        <v>0</v>
      </c>
      <c r="AF279" s="669">
        <f t="shared" si="78"/>
        <v>0</v>
      </c>
      <c r="AG279" s="506"/>
      <c r="AH279" s="506"/>
      <c r="AI279" s="502"/>
    </row>
    <row r="280" spans="1:35" s="500" customFormat="1" ht="31.5" x14ac:dyDescent="0.25">
      <c r="A280" s="491"/>
      <c r="B280" s="493"/>
      <c r="C280" s="494"/>
      <c r="D280" s="494"/>
      <c r="E280" s="495"/>
      <c r="F280" s="495"/>
      <c r="G280" s="84"/>
      <c r="H280" s="105"/>
      <c r="I280" s="49"/>
      <c r="J280" s="49"/>
      <c r="K280" s="49"/>
      <c r="L280" s="492"/>
      <c r="M280" s="49"/>
      <c r="N280" s="492"/>
      <c r="O280" s="82"/>
      <c r="P280" s="496"/>
      <c r="Q280" s="497"/>
      <c r="R280" s="498"/>
      <c r="S280" s="498"/>
      <c r="T280" s="498"/>
      <c r="U280" s="498"/>
      <c r="V280" s="498"/>
      <c r="W280" s="105"/>
      <c r="X280" s="514" t="s">
        <v>886</v>
      </c>
      <c r="Y280" s="511" t="s">
        <v>63</v>
      </c>
      <c r="Z280" s="515" t="s">
        <v>49</v>
      </c>
      <c r="AA280" s="515">
        <v>12</v>
      </c>
      <c r="AB280" s="512" t="s">
        <v>887</v>
      </c>
      <c r="AC280" s="516"/>
      <c r="AD280" s="669">
        <f>AD281</f>
        <v>500</v>
      </c>
      <c r="AE280" s="669">
        <f t="shared" si="78"/>
        <v>0</v>
      </c>
      <c r="AF280" s="669">
        <f t="shared" si="78"/>
        <v>0</v>
      </c>
      <c r="AG280" s="506"/>
      <c r="AH280" s="506"/>
      <c r="AI280" s="502"/>
    </row>
    <row r="281" spans="1:35" s="500" customFormat="1" x14ac:dyDescent="0.25">
      <c r="A281" s="491"/>
      <c r="B281" s="493"/>
      <c r="C281" s="494"/>
      <c r="D281" s="494"/>
      <c r="E281" s="495"/>
      <c r="F281" s="495"/>
      <c r="G281" s="84"/>
      <c r="H281" s="105"/>
      <c r="I281" s="49"/>
      <c r="J281" s="49"/>
      <c r="K281" s="49"/>
      <c r="L281" s="492"/>
      <c r="M281" s="49"/>
      <c r="N281" s="492"/>
      <c r="O281" s="82"/>
      <c r="P281" s="496"/>
      <c r="Q281" s="497"/>
      <c r="R281" s="498"/>
      <c r="S281" s="498"/>
      <c r="T281" s="498"/>
      <c r="U281" s="498"/>
      <c r="V281" s="498"/>
      <c r="W281" s="105"/>
      <c r="X281" s="514" t="s">
        <v>888</v>
      </c>
      <c r="Y281" s="511" t="s">
        <v>63</v>
      </c>
      <c r="Z281" s="515" t="s">
        <v>49</v>
      </c>
      <c r="AA281" s="515">
        <v>12</v>
      </c>
      <c r="AB281" s="512" t="s">
        <v>889</v>
      </c>
      <c r="AC281" s="516"/>
      <c r="AD281" s="669">
        <f>AD282</f>
        <v>500</v>
      </c>
      <c r="AE281" s="669">
        <f t="shared" si="78"/>
        <v>0</v>
      </c>
      <c r="AF281" s="669">
        <f t="shared" si="78"/>
        <v>0</v>
      </c>
      <c r="AG281" s="506"/>
      <c r="AH281" s="506"/>
      <c r="AI281" s="502"/>
    </row>
    <row r="282" spans="1:35" s="500" customFormat="1" x14ac:dyDescent="0.25">
      <c r="A282" s="491"/>
      <c r="B282" s="493"/>
      <c r="C282" s="494"/>
      <c r="D282" s="494"/>
      <c r="E282" s="495"/>
      <c r="F282" s="495"/>
      <c r="G282" s="84"/>
      <c r="H282" s="105"/>
      <c r="I282" s="49"/>
      <c r="J282" s="49"/>
      <c r="K282" s="49"/>
      <c r="L282" s="492"/>
      <c r="M282" s="49"/>
      <c r="N282" s="492"/>
      <c r="O282" s="82"/>
      <c r="P282" s="496"/>
      <c r="Q282" s="497"/>
      <c r="R282" s="498"/>
      <c r="S282" s="498"/>
      <c r="T282" s="498"/>
      <c r="U282" s="498"/>
      <c r="V282" s="498"/>
      <c r="W282" s="105"/>
      <c r="X282" s="514" t="s">
        <v>42</v>
      </c>
      <c r="Y282" s="511" t="s">
        <v>63</v>
      </c>
      <c r="Z282" s="515" t="s">
        <v>49</v>
      </c>
      <c r="AA282" s="515">
        <v>12</v>
      </c>
      <c r="AB282" s="512" t="s">
        <v>889</v>
      </c>
      <c r="AC282" s="516">
        <v>800</v>
      </c>
      <c r="AD282" s="669">
        <f>AD283</f>
        <v>500</v>
      </c>
      <c r="AE282" s="669">
        <f t="shared" si="78"/>
        <v>0</v>
      </c>
      <c r="AF282" s="669">
        <f t="shared" si="78"/>
        <v>0</v>
      </c>
      <c r="AG282" s="506"/>
      <c r="AH282" s="506"/>
      <c r="AI282" s="502"/>
    </row>
    <row r="283" spans="1:35" s="500" customFormat="1" ht="31.5" x14ac:dyDescent="0.25">
      <c r="A283" s="491"/>
      <c r="B283" s="493"/>
      <c r="C283" s="494"/>
      <c r="D283" s="494"/>
      <c r="E283" s="495"/>
      <c r="F283" s="495"/>
      <c r="G283" s="84"/>
      <c r="H283" s="105"/>
      <c r="I283" s="49"/>
      <c r="J283" s="49"/>
      <c r="K283" s="49"/>
      <c r="L283" s="492"/>
      <c r="M283" s="49"/>
      <c r="N283" s="492"/>
      <c r="O283" s="82"/>
      <c r="P283" s="496"/>
      <c r="Q283" s="497"/>
      <c r="R283" s="498"/>
      <c r="S283" s="498"/>
      <c r="T283" s="498"/>
      <c r="U283" s="498"/>
      <c r="V283" s="498"/>
      <c r="W283" s="105"/>
      <c r="X283" s="514" t="s">
        <v>121</v>
      </c>
      <c r="Y283" s="511" t="s">
        <v>63</v>
      </c>
      <c r="Z283" s="515" t="s">
        <v>49</v>
      </c>
      <c r="AA283" s="515">
        <v>12</v>
      </c>
      <c r="AB283" s="512" t="s">
        <v>889</v>
      </c>
      <c r="AC283" s="516">
        <v>810</v>
      </c>
      <c r="AD283" s="669">
        <v>500</v>
      </c>
      <c r="AE283" s="669">
        <v>0</v>
      </c>
      <c r="AF283" s="707">
        <v>0</v>
      </c>
      <c r="AG283" s="506"/>
      <c r="AH283" s="506"/>
      <c r="AI283" s="502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50" t="s">
        <v>3</v>
      </c>
      <c r="Y284" s="448" t="s">
        <v>63</v>
      </c>
      <c r="Z284" s="471" t="s">
        <v>5</v>
      </c>
      <c r="AA284" s="471"/>
      <c r="AB284" s="539"/>
      <c r="AC284" s="450"/>
      <c r="AD284" s="668">
        <f>AD285+AD305+AD298</f>
        <v>385425.60000000003</v>
      </c>
      <c r="AE284" s="668">
        <f t="shared" ref="AE284:AF284" si="79">AE285+AE305+AE298</f>
        <v>302552</v>
      </c>
      <c r="AF284" s="668">
        <f t="shared" si="79"/>
        <v>314804</v>
      </c>
      <c r="AG284" s="205"/>
      <c r="AH284" s="205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51" t="s">
        <v>69</v>
      </c>
      <c r="Y285" s="452" t="s">
        <v>63</v>
      </c>
      <c r="Z285" s="453" t="s">
        <v>5</v>
      </c>
      <c r="AA285" s="453" t="s">
        <v>29</v>
      </c>
      <c r="AB285" s="541"/>
      <c r="AC285" s="450"/>
      <c r="AD285" s="669">
        <f>AD286+AD292</f>
        <v>27967.7</v>
      </c>
      <c r="AE285" s="633">
        <f>AE286+AE292</f>
        <v>8300</v>
      </c>
      <c r="AF285" s="643">
        <f>AF286+AF292</f>
        <v>8300</v>
      </c>
      <c r="AG285" s="180"/>
      <c r="AH285" s="180"/>
      <c r="AI285" s="147"/>
    </row>
    <row r="286" spans="1:35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57" t="s">
        <v>186</v>
      </c>
      <c r="Y286" s="452" t="s">
        <v>63</v>
      </c>
      <c r="Z286" s="453" t="s">
        <v>5</v>
      </c>
      <c r="AA286" s="453" t="s">
        <v>29</v>
      </c>
      <c r="AB286" s="542" t="s">
        <v>112</v>
      </c>
      <c r="AC286" s="450"/>
      <c r="AD286" s="669">
        <f t="shared" ref="AD286:AF290" si="80">AD287</f>
        <v>23503.7</v>
      </c>
      <c r="AE286" s="633">
        <f t="shared" si="80"/>
        <v>8300</v>
      </c>
      <c r="AF286" s="643">
        <f t="shared" si="80"/>
        <v>8300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656" t="s">
        <v>529</v>
      </c>
      <c r="Y287" s="452" t="s">
        <v>63</v>
      </c>
      <c r="Z287" s="453" t="s">
        <v>5</v>
      </c>
      <c r="AA287" s="453" t="s">
        <v>29</v>
      </c>
      <c r="AB287" s="542" t="s">
        <v>113</v>
      </c>
      <c r="AC287" s="450"/>
      <c r="AD287" s="669">
        <f t="shared" ref="AD287:AF288" si="81">AD288</f>
        <v>23503.7</v>
      </c>
      <c r="AE287" s="633">
        <f t="shared" si="81"/>
        <v>8300</v>
      </c>
      <c r="AF287" s="643">
        <f t="shared" si="81"/>
        <v>8300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66" t="s">
        <v>182</v>
      </c>
      <c r="Y288" s="452" t="s">
        <v>63</v>
      </c>
      <c r="Z288" s="453" t="s">
        <v>5</v>
      </c>
      <c r="AA288" s="453" t="s">
        <v>29</v>
      </c>
      <c r="AB288" s="542" t="s">
        <v>183</v>
      </c>
      <c r="AC288" s="450"/>
      <c r="AD288" s="669">
        <f t="shared" si="81"/>
        <v>23503.7</v>
      </c>
      <c r="AE288" s="633">
        <f t="shared" si="81"/>
        <v>8300</v>
      </c>
      <c r="AF288" s="643">
        <f t="shared" si="81"/>
        <v>8300</v>
      </c>
      <c r="AG288" s="180"/>
      <c r="AH288" s="180"/>
      <c r="AI288" s="147"/>
    </row>
    <row r="289" spans="1:35" s="77" customFormat="1" ht="31.5" x14ac:dyDescent="0.25">
      <c r="A289" s="141" t="s">
        <v>184</v>
      </c>
      <c r="B289" s="11" t="s">
        <v>59</v>
      </c>
      <c r="C289" s="1" t="s">
        <v>29</v>
      </c>
      <c r="D289" s="1">
        <v>13</v>
      </c>
      <c r="E289" s="139" t="s">
        <v>185</v>
      </c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65" t="s">
        <v>432</v>
      </c>
      <c r="Y289" s="452" t="s">
        <v>63</v>
      </c>
      <c r="Z289" s="453" t="s">
        <v>5</v>
      </c>
      <c r="AA289" s="453" t="s">
        <v>29</v>
      </c>
      <c r="AB289" s="542" t="s">
        <v>385</v>
      </c>
      <c r="AC289" s="450"/>
      <c r="AD289" s="669">
        <f t="shared" si="80"/>
        <v>23503.7</v>
      </c>
      <c r="AE289" s="633">
        <f t="shared" si="80"/>
        <v>8300</v>
      </c>
      <c r="AF289" s="643">
        <f t="shared" si="80"/>
        <v>8300</v>
      </c>
      <c r="AG289" s="180"/>
      <c r="AH289" s="180"/>
      <c r="AI289" s="147"/>
    </row>
    <row r="290" spans="1:35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1" t="s">
        <v>120</v>
      </c>
      <c r="Y290" s="452" t="s">
        <v>63</v>
      </c>
      <c r="Z290" s="453" t="s">
        <v>5</v>
      </c>
      <c r="AA290" s="453" t="s">
        <v>29</v>
      </c>
      <c r="AB290" s="542" t="s">
        <v>385</v>
      </c>
      <c r="AC290" s="475">
        <v>200</v>
      </c>
      <c r="AD290" s="669">
        <f t="shared" si="80"/>
        <v>23503.7</v>
      </c>
      <c r="AE290" s="633">
        <f t="shared" si="80"/>
        <v>8300</v>
      </c>
      <c r="AF290" s="643">
        <f t="shared" si="80"/>
        <v>8300</v>
      </c>
      <c r="AG290" s="180"/>
      <c r="AH290" s="180"/>
      <c r="AI290" s="147"/>
    </row>
    <row r="291" spans="1:35" s="77" customFormat="1" ht="31.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51" t="s">
        <v>52</v>
      </c>
      <c r="Y291" s="452" t="s">
        <v>63</v>
      </c>
      <c r="Z291" s="453" t="s">
        <v>5</v>
      </c>
      <c r="AA291" s="453" t="s">
        <v>29</v>
      </c>
      <c r="AB291" s="542" t="s">
        <v>385</v>
      </c>
      <c r="AC291" s="475">
        <v>240</v>
      </c>
      <c r="AD291" s="669">
        <f>22100+1403.7</f>
        <v>23503.7</v>
      </c>
      <c r="AE291" s="633">
        <v>8300</v>
      </c>
      <c r="AF291" s="643">
        <v>8300</v>
      </c>
      <c r="AG291" s="180"/>
      <c r="AH291" s="180"/>
      <c r="AI291" s="147"/>
    </row>
    <row r="292" spans="1:35" s="118" customFormat="1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57" t="s">
        <v>242</v>
      </c>
      <c r="Y292" s="452" t="s">
        <v>63</v>
      </c>
      <c r="Z292" s="453" t="s">
        <v>5</v>
      </c>
      <c r="AA292" s="453" t="s">
        <v>29</v>
      </c>
      <c r="AB292" s="542" t="s">
        <v>243</v>
      </c>
      <c r="AC292" s="482"/>
      <c r="AD292" s="669">
        <f>AD293</f>
        <v>4464</v>
      </c>
      <c r="AE292" s="633">
        <f>AE295</f>
        <v>0</v>
      </c>
      <c r="AF292" s="643">
        <f>AF295</f>
        <v>0</v>
      </c>
      <c r="AG292" s="180"/>
      <c r="AH292" s="180"/>
      <c r="AI292" s="147"/>
    </row>
    <row r="293" spans="1:35" s="118" customFormat="1" ht="31.5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57" t="s">
        <v>539</v>
      </c>
      <c r="Y293" s="452" t="s">
        <v>63</v>
      </c>
      <c r="Z293" s="453" t="s">
        <v>5</v>
      </c>
      <c r="AA293" s="453" t="s">
        <v>29</v>
      </c>
      <c r="AB293" s="542" t="s">
        <v>244</v>
      </c>
      <c r="AC293" s="482"/>
      <c r="AD293" s="669">
        <f>AD294</f>
        <v>4464</v>
      </c>
      <c r="AE293" s="633">
        <f t="shared" ref="AE293:AF293" si="82">AE294</f>
        <v>0</v>
      </c>
      <c r="AF293" s="643">
        <f t="shared" si="82"/>
        <v>0</v>
      </c>
      <c r="AG293" s="506"/>
      <c r="AH293" s="506"/>
      <c r="AI293" s="502"/>
    </row>
    <row r="294" spans="1:35" s="118" customFormat="1" ht="31.5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57" t="s">
        <v>682</v>
      </c>
      <c r="Y294" s="452" t="s">
        <v>63</v>
      </c>
      <c r="Z294" s="453" t="s">
        <v>5</v>
      </c>
      <c r="AA294" s="453" t="s">
        <v>29</v>
      </c>
      <c r="AB294" s="542" t="s">
        <v>541</v>
      </c>
      <c r="AC294" s="482"/>
      <c r="AD294" s="669">
        <f>AD295</f>
        <v>4464</v>
      </c>
      <c r="AE294" s="633">
        <f t="shared" ref="AE294:AF294" si="83">AE295</f>
        <v>0</v>
      </c>
      <c r="AF294" s="643">
        <f t="shared" si="83"/>
        <v>0</v>
      </c>
      <c r="AG294" s="506"/>
      <c r="AH294" s="506"/>
      <c r="AI294" s="502"/>
    </row>
    <row r="295" spans="1:35" s="118" customFormat="1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66" t="s">
        <v>606</v>
      </c>
      <c r="Y295" s="452" t="s">
        <v>63</v>
      </c>
      <c r="Z295" s="453" t="s">
        <v>5</v>
      </c>
      <c r="AA295" s="453" t="s">
        <v>29</v>
      </c>
      <c r="AB295" s="542" t="s">
        <v>681</v>
      </c>
      <c r="AC295" s="473"/>
      <c r="AD295" s="669">
        <f t="shared" ref="AD295:AF296" si="84">AD296</f>
        <v>4464</v>
      </c>
      <c r="AE295" s="633">
        <f t="shared" si="84"/>
        <v>0</v>
      </c>
      <c r="AF295" s="643">
        <f t="shared" si="84"/>
        <v>0</v>
      </c>
      <c r="AG295" s="180"/>
      <c r="AH295" s="180"/>
      <c r="AI295" s="147"/>
    </row>
    <row r="296" spans="1:35" s="118" customFormat="1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51" t="s">
        <v>42</v>
      </c>
      <c r="Y296" s="452" t="s">
        <v>63</v>
      </c>
      <c r="Z296" s="453" t="s">
        <v>5</v>
      </c>
      <c r="AA296" s="453" t="s">
        <v>29</v>
      </c>
      <c r="AB296" s="542" t="s">
        <v>681</v>
      </c>
      <c r="AC296" s="473" t="s">
        <v>346</v>
      </c>
      <c r="AD296" s="669">
        <f t="shared" si="84"/>
        <v>4464</v>
      </c>
      <c r="AE296" s="633">
        <f t="shared" si="84"/>
        <v>0</v>
      </c>
      <c r="AF296" s="643">
        <f t="shared" si="84"/>
        <v>0</v>
      </c>
      <c r="AG296" s="180"/>
      <c r="AH296" s="180"/>
      <c r="AI296" s="147"/>
    </row>
    <row r="297" spans="1:35" s="118" customFormat="1" ht="31.5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51" t="s">
        <v>121</v>
      </c>
      <c r="Y297" s="452" t="s">
        <v>63</v>
      </c>
      <c r="Z297" s="453" t="s">
        <v>5</v>
      </c>
      <c r="AA297" s="453" t="s">
        <v>29</v>
      </c>
      <c r="AB297" s="542" t="s">
        <v>681</v>
      </c>
      <c r="AC297" s="473" t="s">
        <v>347</v>
      </c>
      <c r="AD297" s="669">
        <v>4464</v>
      </c>
      <c r="AE297" s="633">
        <v>0</v>
      </c>
      <c r="AF297" s="643">
        <v>0</v>
      </c>
      <c r="AG297" s="180"/>
      <c r="AH297" s="180"/>
      <c r="AI297" s="147"/>
    </row>
    <row r="298" spans="1:35" s="118" customFormat="1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51" t="s">
        <v>323</v>
      </c>
      <c r="Y298" s="452" t="s">
        <v>63</v>
      </c>
      <c r="Z298" s="453" t="s">
        <v>5</v>
      </c>
      <c r="AA298" s="453" t="s">
        <v>30</v>
      </c>
      <c r="AB298" s="477"/>
      <c r="AC298" s="473"/>
      <c r="AD298" s="669">
        <f t="shared" ref="AD298:AD303" si="85">AD299</f>
        <v>16500</v>
      </c>
      <c r="AE298" s="669">
        <f t="shared" ref="AE298:AF301" si="86">AE299</f>
        <v>0</v>
      </c>
      <c r="AF298" s="669">
        <f t="shared" si="86"/>
        <v>0</v>
      </c>
      <c r="AG298" s="506"/>
      <c r="AH298" s="506"/>
      <c r="AI298" s="502"/>
    </row>
    <row r="299" spans="1:35" s="118" customFormat="1" ht="31.5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51" t="s">
        <v>586</v>
      </c>
      <c r="Y299" s="452" t="s">
        <v>63</v>
      </c>
      <c r="Z299" s="453" t="s">
        <v>5</v>
      </c>
      <c r="AA299" s="453" t="s">
        <v>30</v>
      </c>
      <c r="AB299" s="542" t="s">
        <v>111</v>
      </c>
      <c r="AC299" s="473"/>
      <c r="AD299" s="669">
        <f t="shared" si="85"/>
        <v>16500</v>
      </c>
      <c r="AE299" s="669">
        <f t="shared" si="86"/>
        <v>0</v>
      </c>
      <c r="AF299" s="669">
        <f t="shared" si="86"/>
        <v>0</v>
      </c>
      <c r="AG299" s="506"/>
      <c r="AH299" s="506"/>
      <c r="AI299" s="502"/>
    </row>
    <row r="300" spans="1:35" s="118" customFormat="1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451" t="s">
        <v>664</v>
      </c>
      <c r="Y300" s="452" t="s">
        <v>63</v>
      </c>
      <c r="Z300" s="453" t="s">
        <v>5</v>
      </c>
      <c r="AA300" s="453" t="s">
        <v>30</v>
      </c>
      <c r="AB300" s="542" t="s">
        <v>665</v>
      </c>
      <c r="AC300" s="473"/>
      <c r="AD300" s="669">
        <f t="shared" si="85"/>
        <v>16500</v>
      </c>
      <c r="AE300" s="669">
        <f t="shared" si="86"/>
        <v>0</v>
      </c>
      <c r="AF300" s="669">
        <f t="shared" si="86"/>
        <v>0</v>
      </c>
      <c r="AG300" s="506"/>
      <c r="AH300" s="506"/>
      <c r="AI300" s="502"/>
    </row>
    <row r="301" spans="1:35" s="118" customFormat="1" ht="31.5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451" t="s">
        <v>667</v>
      </c>
      <c r="Y301" s="452" t="s">
        <v>63</v>
      </c>
      <c r="Z301" s="453" t="s">
        <v>5</v>
      </c>
      <c r="AA301" s="453" t="s">
        <v>30</v>
      </c>
      <c r="AB301" s="542" t="s">
        <v>666</v>
      </c>
      <c r="AC301" s="473"/>
      <c r="AD301" s="669">
        <f t="shared" si="85"/>
        <v>16500</v>
      </c>
      <c r="AE301" s="669">
        <f t="shared" si="86"/>
        <v>0</v>
      </c>
      <c r="AF301" s="669">
        <f t="shared" si="86"/>
        <v>0</v>
      </c>
      <c r="AG301" s="506"/>
      <c r="AH301" s="506"/>
      <c r="AI301" s="502"/>
    </row>
    <row r="302" spans="1:35" s="118" customFormat="1" x14ac:dyDescent="0.25">
      <c r="A302" s="115"/>
      <c r="B302" s="116"/>
      <c r="C302" s="117"/>
      <c r="D302" s="117"/>
      <c r="E302" s="117"/>
      <c r="F302" s="117"/>
      <c r="G302" s="117"/>
      <c r="I302" s="119"/>
      <c r="J302" s="119"/>
      <c r="K302" s="119"/>
      <c r="L302" s="119"/>
      <c r="M302" s="119"/>
      <c r="N302" s="119"/>
      <c r="O302" s="120"/>
      <c r="P302" s="121"/>
      <c r="R302" s="122"/>
      <c r="S302" s="123"/>
      <c r="W302" s="124"/>
      <c r="X302" s="451" t="s">
        <v>668</v>
      </c>
      <c r="Y302" s="452" t="s">
        <v>63</v>
      </c>
      <c r="Z302" s="453" t="s">
        <v>5</v>
      </c>
      <c r="AA302" s="453" t="s">
        <v>30</v>
      </c>
      <c r="AB302" s="542" t="s">
        <v>669</v>
      </c>
      <c r="AC302" s="473"/>
      <c r="AD302" s="669">
        <f t="shared" si="85"/>
        <v>16500</v>
      </c>
      <c r="AE302" s="669">
        <f t="shared" ref="AE302:AF302" si="87">AE303</f>
        <v>0</v>
      </c>
      <c r="AF302" s="669">
        <f t="shared" si="87"/>
        <v>0</v>
      </c>
      <c r="AG302" s="506"/>
      <c r="AH302" s="506"/>
      <c r="AI302" s="502"/>
    </row>
    <row r="303" spans="1:35" s="118" customFormat="1" x14ac:dyDescent="0.25">
      <c r="A303" s="115"/>
      <c r="B303" s="116"/>
      <c r="C303" s="117"/>
      <c r="D303" s="117"/>
      <c r="E303" s="117"/>
      <c r="F303" s="117"/>
      <c r="G303" s="117"/>
      <c r="I303" s="119"/>
      <c r="J303" s="119"/>
      <c r="K303" s="119"/>
      <c r="L303" s="119"/>
      <c r="M303" s="119"/>
      <c r="N303" s="119"/>
      <c r="O303" s="120"/>
      <c r="P303" s="121"/>
      <c r="R303" s="122"/>
      <c r="S303" s="123"/>
      <c r="W303" s="124"/>
      <c r="X303" s="523" t="s">
        <v>42</v>
      </c>
      <c r="Y303" s="452" t="s">
        <v>63</v>
      </c>
      <c r="Z303" s="453" t="s">
        <v>5</v>
      </c>
      <c r="AA303" s="453" t="s">
        <v>30</v>
      </c>
      <c r="AB303" s="542" t="s">
        <v>669</v>
      </c>
      <c r="AC303" s="185" t="s">
        <v>346</v>
      </c>
      <c r="AD303" s="669">
        <f t="shared" si="85"/>
        <v>16500</v>
      </c>
      <c r="AE303" s="669">
        <f t="shared" ref="AE303:AF303" si="88">AE304</f>
        <v>0</v>
      </c>
      <c r="AF303" s="669">
        <f t="shared" si="88"/>
        <v>0</v>
      </c>
      <c r="AG303" s="506"/>
      <c r="AH303" s="506"/>
      <c r="AI303" s="502"/>
    </row>
    <row r="304" spans="1:35" s="118" customFormat="1" ht="31.5" x14ac:dyDescent="0.25">
      <c r="A304" s="115"/>
      <c r="B304" s="116"/>
      <c r="C304" s="117"/>
      <c r="D304" s="117"/>
      <c r="E304" s="117"/>
      <c r="F304" s="117"/>
      <c r="G304" s="117"/>
      <c r="I304" s="119"/>
      <c r="J304" s="119"/>
      <c r="K304" s="119"/>
      <c r="L304" s="119"/>
      <c r="M304" s="119"/>
      <c r="N304" s="119"/>
      <c r="O304" s="120"/>
      <c r="P304" s="121"/>
      <c r="R304" s="122"/>
      <c r="S304" s="123"/>
      <c r="W304" s="124"/>
      <c r="X304" s="523" t="s">
        <v>121</v>
      </c>
      <c r="Y304" s="452" t="s">
        <v>63</v>
      </c>
      <c r="Z304" s="453" t="s">
        <v>5</v>
      </c>
      <c r="AA304" s="453" t="s">
        <v>30</v>
      </c>
      <c r="AB304" s="542" t="s">
        <v>669</v>
      </c>
      <c r="AC304" s="185" t="s">
        <v>347</v>
      </c>
      <c r="AD304" s="669">
        <v>16500</v>
      </c>
      <c r="AE304" s="633">
        <v>0</v>
      </c>
      <c r="AF304" s="643">
        <v>0</v>
      </c>
      <c r="AG304" s="506"/>
      <c r="AH304" s="506"/>
      <c r="AI304" s="502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18</v>
      </c>
      <c r="Y305" s="452" t="s">
        <v>63</v>
      </c>
      <c r="Z305" s="453" t="s">
        <v>5</v>
      </c>
      <c r="AA305" s="453" t="s">
        <v>7</v>
      </c>
      <c r="AB305" s="545"/>
      <c r="AC305" s="473"/>
      <c r="AD305" s="669">
        <f>AD326+AD306+AD338+AD332+AD319</f>
        <v>340957.9</v>
      </c>
      <c r="AE305" s="669">
        <f t="shared" ref="AE305:AF305" si="89">AE326+AE306+AE338+AE332+AE319</f>
        <v>294252</v>
      </c>
      <c r="AF305" s="669">
        <f t="shared" si="89"/>
        <v>306504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9" t="s">
        <v>161</v>
      </c>
      <c r="Y306" s="452" t="s">
        <v>63</v>
      </c>
      <c r="Z306" s="453" t="s">
        <v>5</v>
      </c>
      <c r="AA306" s="453" t="s">
        <v>7</v>
      </c>
      <c r="AB306" s="541" t="s">
        <v>102</v>
      </c>
      <c r="AC306" s="473"/>
      <c r="AD306" s="669">
        <f t="shared" ref="AD306:AF307" si="90">AD307</f>
        <v>23359.8</v>
      </c>
      <c r="AE306" s="633">
        <f t="shared" si="90"/>
        <v>4741</v>
      </c>
      <c r="AF306" s="643">
        <f t="shared" si="90"/>
        <v>4741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457" t="s">
        <v>162</v>
      </c>
      <c r="Y307" s="452" t="s">
        <v>63</v>
      </c>
      <c r="Z307" s="453" t="s">
        <v>5</v>
      </c>
      <c r="AA307" s="453" t="s">
        <v>7</v>
      </c>
      <c r="AB307" s="541" t="s">
        <v>106</v>
      </c>
      <c r="AC307" s="473"/>
      <c r="AD307" s="669">
        <f t="shared" si="90"/>
        <v>23359.8</v>
      </c>
      <c r="AE307" s="633">
        <f t="shared" si="90"/>
        <v>4741</v>
      </c>
      <c r="AF307" s="643">
        <f t="shared" si="90"/>
        <v>4741</v>
      </c>
      <c r="AG307" s="180"/>
      <c r="AH307" s="180"/>
      <c r="AI307" s="147"/>
    </row>
    <row r="308" spans="1:35" s="77" customForma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9" t="s">
        <v>527</v>
      </c>
      <c r="Y308" s="452" t="s">
        <v>63</v>
      </c>
      <c r="Z308" s="453" t="s">
        <v>5</v>
      </c>
      <c r="AA308" s="453" t="s">
        <v>7</v>
      </c>
      <c r="AB308" s="541" t="s">
        <v>335</v>
      </c>
      <c r="AC308" s="473"/>
      <c r="AD308" s="669">
        <f>AD309+AD312</f>
        <v>23359.8</v>
      </c>
      <c r="AE308" s="633">
        <f>AE309+AE312</f>
        <v>4741</v>
      </c>
      <c r="AF308" s="643">
        <f>AF309+AF312</f>
        <v>4741</v>
      </c>
      <c r="AG308" s="180"/>
      <c r="AH308" s="180"/>
      <c r="AI308" s="147"/>
    </row>
    <row r="309" spans="1:35" s="77" customFormat="1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66" t="s">
        <v>248</v>
      </c>
      <c r="Y309" s="452" t="s">
        <v>63</v>
      </c>
      <c r="Z309" s="453" t="s">
        <v>5</v>
      </c>
      <c r="AA309" s="453" t="s">
        <v>7</v>
      </c>
      <c r="AB309" s="541" t="s">
        <v>355</v>
      </c>
      <c r="AC309" s="473"/>
      <c r="AD309" s="669">
        <f t="shared" ref="AD309:AF310" si="91">AD310</f>
        <v>15638.8</v>
      </c>
      <c r="AE309" s="633">
        <f t="shared" si="91"/>
        <v>0</v>
      </c>
      <c r="AF309" s="643">
        <f t="shared" si="91"/>
        <v>0</v>
      </c>
      <c r="AG309" s="180"/>
      <c r="AH309" s="180"/>
      <c r="AI309" s="147"/>
    </row>
    <row r="310" spans="1:35" s="77" customFormat="1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1" t="s">
        <v>120</v>
      </c>
      <c r="Y310" s="452" t="s">
        <v>63</v>
      </c>
      <c r="Z310" s="453" t="s">
        <v>5</v>
      </c>
      <c r="AA310" s="453" t="s">
        <v>7</v>
      </c>
      <c r="AB310" s="541" t="s">
        <v>355</v>
      </c>
      <c r="AC310" s="473" t="s">
        <v>37</v>
      </c>
      <c r="AD310" s="669">
        <f t="shared" si="91"/>
        <v>15638.8</v>
      </c>
      <c r="AE310" s="633">
        <f t="shared" si="91"/>
        <v>0</v>
      </c>
      <c r="AF310" s="643">
        <f t="shared" si="91"/>
        <v>0</v>
      </c>
      <c r="AG310" s="180"/>
      <c r="AH310" s="180"/>
      <c r="AI310" s="147"/>
    </row>
    <row r="311" spans="1:35" s="77" customFormat="1" ht="31.5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51" t="s">
        <v>52</v>
      </c>
      <c r="Y311" s="452" t="s">
        <v>63</v>
      </c>
      <c r="Z311" s="453" t="s">
        <v>5</v>
      </c>
      <c r="AA311" s="453" t="s">
        <v>7</v>
      </c>
      <c r="AB311" s="541" t="s">
        <v>355</v>
      </c>
      <c r="AC311" s="473" t="s">
        <v>65</v>
      </c>
      <c r="AD311" s="669">
        <f>8549+189.8+6900</f>
        <v>15638.8</v>
      </c>
      <c r="AE311" s="633">
        <v>0</v>
      </c>
      <c r="AF311" s="643">
        <v>0</v>
      </c>
      <c r="AG311" s="266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65" t="s">
        <v>247</v>
      </c>
      <c r="Y312" s="452" t="s">
        <v>63</v>
      </c>
      <c r="Z312" s="453" t="s">
        <v>5</v>
      </c>
      <c r="AA312" s="453" t="s">
        <v>7</v>
      </c>
      <c r="AB312" s="541" t="s">
        <v>337</v>
      </c>
      <c r="AC312" s="473"/>
      <c r="AD312" s="669">
        <f>AD313+AD315+AD317</f>
        <v>7721</v>
      </c>
      <c r="AE312" s="669">
        <f t="shared" ref="AE312:AF312" si="92">AE313+AE315+AE317</f>
        <v>4741</v>
      </c>
      <c r="AF312" s="669">
        <f t="shared" si="92"/>
        <v>4741</v>
      </c>
      <c r="AG312" s="180"/>
      <c r="AH312" s="180"/>
      <c r="AI312" s="147"/>
    </row>
    <row r="313" spans="1:35" s="77" customFormat="1" ht="47.25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51" t="s">
        <v>41</v>
      </c>
      <c r="Y313" s="452" t="s">
        <v>63</v>
      </c>
      <c r="Z313" s="453" t="s">
        <v>5</v>
      </c>
      <c r="AA313" s="453" t="s">
        <v>7</v>
      </c>
      <c r="AB313" s="541" t="s">
        <v>337</v>
      </c>
      <c r="AC313" s="473" t="s">
        <v>127</v>
      </c>
      <c r="AD313" s="669">
        <f>AD314</f>
        <v>7023.2</v>
      </c>
      <c r="AE313" s="633">
        <f>AE314</f>
        <v>3841.6</v>
      </c>
      <c r="AF313" s="643">
        <f>AF314</f>
        <v>3841.6</v>
      </c>
      <c r="AG313" s="180"/>
      <c r="AH313" s="180"/>
      <c r="AI313" s="147"/>
    </row>
    <row r="314" spans="1:35" s="77" customFormat="1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73"/>
      <c r="M314" s="113"/>
      <c r="N314" s="73"/>
      <c r="O314" s="114"/>
      <c r="P314" s="73"/>
      <c r="Q314" s="75"/>
      <c r="R314" s="95"/>
      <c r="S314" s="95"/>
      <c r="T314" s="95"/>
      <c r="U314" s="95"/>
      <c r="V314" s="95"/>
      <c r="W314" s="112"/>
      <c r="X314" s="451" t="s">
        <v>68</v>
      </c>
      <c r="Y314" s="452" t="s">
        <v>63</v>
      </c>
      <c r="Z314" s="453" t="s">
        <v>5</v>
      </c>
      <c r="AA314" s="453" t="s">
        <v>7</v>
      </c>
      <c r="AB314" s="541" t="s">
        <v>337</v>
      </c>
      <c r="AC314" s="473" t="s">
        <v>128</v>
      </c>
      <c r="AD314" s="669">
        <f>6478.7+418.2+126.3</f>
        <v>7023.2</v>
      </c>
      <c r="AE314" s="633">
        <v>3841.6</v>
      </c>
      <c r="AF314" s="643">
        <v>3841.6</v>
      </c>
      <c r="AG314" s="180"/>
      <c r="AH314" s="180"/>
      <c r="AI314" s="147"/>
    </row>
    <row r="315" spans="1:35" s="77" customFormat="1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73"/>
      <c r="M315" s="113"/>
      <c r="N315" s="73"/>
      <c r="O315" s="114"/>
      <c r="P315" s="73"/>
      <c r="Q315" s="75"/>
      <c r="R315" s="95"/>
      <c r="S315" s="95"/>
      <c r="T315" s="95"/>
      <c r="U315" s="95"/>
      <c r="V315" s="95"/>
      <c r="W315" s="112"/>
      <c r="X315" s="451" t="s">
        <v>120</v>
      </c>
      <c r="Y315" s="452" t="s">
        <v>63</v>
      </c>
      <c r="Z315" s="453" t="s">
        <v>5</v>
      </c>
      <c r="AA315" s="453" t="s">
        <v>7</v>
      </c>
      <c r="AB315" s="541" t="s">
        <v>337</v>
      </c>
      <c r="AC315" s="473" t="s">
        <v>37</v>
      </c>
      <c r="AD315" s="669">
        <f>AD316</f>
        <v>696.3</v>
      </c>
      <c r="AE315" s="633">
        <f>AE316</f>
        <v>899.4</v>
      </c>
      <c r="AF315" s="643">
        <f>AF316</f>
        <v>899.4</v>
      </c>
      <c r="AG315" s="180"/>
      <c r="AH315" s="180"/>
      <c r="AI315" s="147"/>
    </row>
    <row r="316" spans="1:35" s="77" customFormat="1" ht="31.5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73"/>
      <c r="M316" s="113"/>
      <c r="N316" s="73"/>
      <c r="O316" s="114"/>
      <c r="P316" s="73"/>
      <c r="Q316" s="75"/>
      <c r="R316" s="95"/>
      <c r="S316" s="95"/>
      <c r="T316" s="95"/>
      <c r="U316" s="95"/>
      <c r="V316" s="95"/>
      <c r="W316" s="112"/>
      <c r="X316" s="451" t="s">
        <v>52</v>
      </c>
      <c r="Y316" s="452" t="s">
        <v>63</v>
      </c>
      <c r="Z316" s="453" t="s">
        <v>5</v>
      </c>
      <c r="AA316" s="453" t="s">
        <v>7</v>
      </c>
      <c r="AB316" s="541" t="s">
        <v>337</v>
      </c>
      <c r="AC316" s="473" t="s">
        <v>65</v>
      </c>
      <c r="AD316" s="669">
        <f>899.4+17.4-1.5-219</f>
        <v>696.3</v>
      </c>
      <c r="AE316" s="633">
        <v>899.4</v>
      </c>
      <c r="AF316" s="643">
        <v>899.4</v>
      </c>
      <c r="AG316" s="180"/>
      <c r="AH316" s="180"/>
      <c r="AI316" s="147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92"/>
      <c r="M317" s="113"/>
      <c r="N317" s="492"/>
      <c r="O317" s="114"/>
      <c r="P317" s="492"/>
      <c r="Q317" s="75"/>
      <c r="R317" s="95"/>
      <c r="S317" s="95"/>
      <c r="T317" s="95"/>
      <c r="U317" s="95"/>
      <c r="V317" s="95"/>
      <c r="W317" s="112"/>
      <c r="X317" s="451" t="s">
        <v>42</v>
      </c>
      <c r="Y317" s="452" t="s">
        <v>63</v>
      </c>
      <c r="Z317" s="453" t="s">
        <v>5</v>
      </c>
      <c r="AA317" s="453" t="s">
        <v>7</v>
      </c>
      <c r="AB317" s="541" t="s">
        <v>337</v>
      </c>
      <c r="AC317" s="473" t="s">
        <v>346</v>
      </c>
      <c r="AD317" s="669">
        <f>AD318</f>
        <v>1.5</v>
      </c>
      <c r="AE317" s="669">
        <f t="shared" ref="AE317:AF317" si="93">AE318</f>
        <v>0</v>
      </c>
      <c r="AF317" s="669">
        <f t="shared" si="93"/>
        <v>0</v>
      </c>
      <c r="AG317" s="506"/>
      <c r="AH317" s="506"/>
      <c r="AI317" s="502"/>
    </row>
    <row r="318" spans="1:35" s="77" customFormat="1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92"/>
      <c r="M318" s="113"/>
      <c r="N318" s="492"/>
      <c r="O318" s="114"/>
      <c r="P318" s="492"/>
      <c r="Q318" s="75"/>
      <c r="R318" s="95"/>
      <c r="S318" s="95"/>
      <c r="T318" s="95"/>
      <c r="U318" s="95"/>
      <c r="V318" s="95"/>
      <c r="W318" s="112"/>
      <c r="X318" s="451" t="s">
        <v>57</v>
      </c>
      <c r="Y318" s="452" t="s">
        <v>63</v>
      </c>
      <c r="Z318" s="453" t="s">
        <v>5</v>
      </c>
      <c r="AA318" s="453" t="s">
        <v>7</v>
      </c>
      <c r="AB318" s="541" t="s">
        <v>337</v>
      </c>
      <c r="AC318" s="473" t="s">
        <v>821</v>
      </c>
      <c r="AD318" s="669">
        <v>1.5</v>
      </c>
      <c r="AE318" s="633">
        <v>0</v>
      </c>
      <c r="AF318" s="643">
        <v>0</v>
      </c>
      <c r="AG318" s="506"/>
      <c r="AH318" s="506"/>
      <c r="AI318" s="502"/>
    </row>
    <row r="319" spans="1:35" s="77" customFormat="1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92"/>
      <c r="M319" s="113"/>
      <c r="N319" s="492"/>
      <c r="O319" s="114"/>
      <c r="P319" s="492"/>
      <c r="Q319" s="75"/>
      <c r="R319" s="95"/>
      <c r="S319" s="95"/>
      <c r="T319" s="95"/>
      <c r="U319" s="95"/>
      <c r="V319" s="95"/>
      <c r="W319" s="112"/>
      <c r="X319" s="255" t="s">
        <v>186</v>
      </c>
      <c r="Y319" s="452" t="s">
        <v>63</v>
      </c>
      <c r="Z319" s="453" t="s">
        <v>5</v>
      </c>
      <c r="AA319" s="453" t="s">
        <v>7</v>
      </c>
      <c r="AB319" s="544" t="s">
        <v>112</v>
      </c>
      <c r="AC319" s="473"/>
      <c r="AD319" s="669">
        <f t="shared" ref="AD319:AD324" si="94">AD320</f>
        <v>219</v>
      </c>
      <c r="AE319" s="669">
        <f t="shared" ref="AE319:AF324" si="95">AE320</f>
        <v>0</v>
      </c>
      <c r="AF319" s="669">
        <f t="shared" si="95"/>
        <v>0</v>
      </c>
      <c r="AG319" s="506"/>
      <c r="AH319" s="506"/>
      <c r="AI319" s="502"/>
    </row>
    <row r="320" spans="1:35" s="77" customFormat="1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92"/>
      <c r="M320" s="113"/>
      <c r="N320" s="492"/>
      <c r="O320" s="114"/>
      <c r="P320" s="492"/>
      <c r="Q320" s="75"/>
      <c r="R320" s="95"/>
      <c r="S320" s="95"/>
      <c r="T320" s="95"/>
      <c r="U320" s="95"/>
      <c r="V320" s="95"/>
      <c r="W320" s="112"/>
      <c r="X320" s="457" t="s">
        <v>189</v>
      </c>
      <c r="Y320" s="452" t="s">
        <v>63</v>
      </c>
      <c r="Z320" s="453" t="s">
        <v>5</v>
      </c>
      <c r="AA320" s="453" t="s">
        <v>7</v>
      </c>
      <c r="AB320" s="542" t="s">
        <v>190</v>
      </c>
      <c r="AC320" s="473"/>
      <c r="AD320" s="669">
        <f t="shared" si="94"/>
        <v>219</v>
      </c>
      <c r="AE320" s="669">
        <f t="shared" si="95"/>
        <v>0</v>
      </c>
      <c r="AF320" s="669">
        <f t="shared" si="95"/>
        <v>0</v>
      </c>
      <c r="AG320" s="506"/>
      <c r="AH320" s="506"/>
      <c r="AI320" s="502"/>
    </row>
    <row r="321" spans="1:36" s="77" customFormat="1" ht="31.5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92"/>
      <c r="M321" s="113"/>
      <c r="N321" s="492"/>
      <c r="O321" s="114"/>
      <c r="P321" s="492"/>
      <c r="Q321" s="75"/>
      <c r="R321" s="95"/>
      <c r="S321" s="95"/>
      <c r="T321" s="95"/>
      <c r="U321" s="95"/>
      <c r="V321" s="95"/>
      <c r="W321" s="112"/>
      <c r="X321" s="451" t="s">
        <v>533</v>
      </c>
      <c r="Y321" s="452" t="s">
        <v>63</v>
      </c>
      <c r="Z321" s="453" t="s">
        <v>5</v>
      </c>
      <c r="AA321" s="453" t="s">
        <v>7</v>
      </c>
      <c r="AB321" s="544" t="s">
        <v>534</v>
      </c>
      <c r="AC321" s="473"/>
      <c r="AD321" s="669">
        <f t="shared" si="94"/>
        <v>219</v>
      </c>
      <c r="AE321" s="669">
        <f t="shared" si="95"/>
        <v>0</v>
      </c>
      <c r="AF321" s="669">
        <f t="shared" si="95"/>
        <v>0</v>
      </c>
      <c r="AG321" s="506"/>
      <c r="AH321" s="506"/>
      <c r="AI321" s="502"/>
    </row>
    <row r="322" spans="1:36" s="77" customFormat="1" ht="31.5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92"/>
      <c r="M322" s="113"/>
      <c r="N322" s="492"/>
      <c r="O322" s="114"/>
      <c r="P322" s="492"/>
      <c r="Q322" s="75"/>
      <c r="R322" s="95"/>
      <c r="S322" s="95"/>
      <c r="T322" s="95"/>
      <c r="U322" s="95"/>
      <c r="V322" s="95"/>
      <c r="W322" s="112"/>
      <c r="X322" s="451" t="s">
        <v>533</v>
      </c>
      <c r="Y322" s="452" t="s">
        <v>63</v>
      </c>
      <c r="Z322" s="453" t="s">
        <v>5</v>
      </c>
      <c r="AA322" s="453" t="s">
        <v>7</v>
      </c>
      <c r="AB322" s="544" t="s">
        <v>534</v>
      </c>
      <c r="AC322" s="454"/>
      <c r="AD322" s="669">
        <f t="shared" si="94"/>
        <v>219</v>
      </c>
      <c r="AE322" s="669">
        <f t="shared" si="95"/>
        <v>0</v>
      </c>
      <c r="AF322" s="669">
        <f t="shared" si="95"/>
        <v>0</v>
      </c>
      <c r="AG322" s="506"/>
      <c r="AH322" s="506"/>
      <c r="AI322" s="502"/>
    </row>
    <row r="323" spans="1:36" s="77" customFormat="1" ht="78.75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492"/>
      <c r="M323" s="113"/>
      <c r="N323" s="492"/>
      <c r="O323" s="114"/>
      <c r="P323" s="492"/>
      <c r="Q323" s="75"/>
      <c r="R323" s="95"/>
      <c r="S323" s="95"/>
      <c r="T323" s="95"/>
      <c r="U323" s="95"/>
      <c r="V323" s="95"/>
      <c r="W323" s="112"/>
      <c r="X323" s="451" t="s">
        <v>405</v>
      </c>
      <c r="Y323" s="452" t="s">
        <v>63</v>
      </c>
      <c r="Z323" s="453" t="s">
        <v>5</v>
      </c>
      <c r="AA323" s="453" t="s">
        <v>7</v>
      </c>
      <c r="AB323" s="542" t="s">
        <v>535</v>
      </c>
      <c r="AC323" s="454"/>
      <c r="AD323" s="669">
        <f t="shared" si="94"/>
        <v>219</v>
      </c>
      <c r="AE323" s="669">
        <f t="shared" si="95"/>
        <v>0</v>
      </c>
      <c r="AF323" s="669">
        <f t="shared" si="95"/>
        <v>0</v>
      </c>
      <c r="AG323" s="506"/>
      <c r="AH323" s="506"/>
      <c r="AI323" s="502"/>
    </row>
    <row r="324" spans="1:36" s="77" customFormat="1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492"/>
      <c r="M324" s="113"/>
      <c r="N324" s="492"/>
      <c r="O324" s="114"/>
      <c r="P324" s="492"/>
      <c r="Q324" s="75"/>
      <c r="R324" s="95"/>
      <c r="S324" s="95"/>
      <c r="T324" s="95"/>
      <c r="U324" s="95"/>
      <c r="V324" s="95"/>
      <c r="W324" s="112"/>
      <c r="X324" s="451" t="s">
        <v>120</v>
      </c>
      <c r="Y324" s="452" t="s">
        <v>63</v>
      </c>
      <c r="Z324" s="453" t="s">
        <v>5</v>
      </c>
      <c r="AA324" s="453" t="s">
        <v>7</v>
      </c>
      <c r="AB324" s="542" t="s">
        <v>535</v>
      </c>
      <c r="AC324" s="454">
        <v>200</v>
      </c>
      <c r="AD324" s="669">
        <f t="shared" si="94"/>
        <v>219</v>
      </c>
      <c r="AE324" s="669">
        <f t="shared" si="95"/>
        <v>0</v>
      </c>
      <c r="AF324" s="669">
        <f t="shared" si="95"/>
        <v>0</v>
      </c>
      <c r="AG324" s="506"/>
      <c r="AH324" s="506"/>
      <c r="AI324" s="502"/>
    </row>
    <row r="325" spans="1:36" s="77" customFormat="1" ht="31.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492"/>
      <c r="M325" s="113"/>
      <c r="N325" s="492"/>
      <c r="O325" s="114"/>
      <c r="P325" s="492"/>
      <c r="Q325" s="75"/>
      <c r="R325" s="95"/>
      <c r="S325" s="95"/>
      <c r="T325" s="95"/>
      <c r="U325" s="95"/>
      <c r="V325" s="95"/>
      <c r="W325" s="112"/>
      <c r="X325" s="451" t="s">
        <v>52</v>
      </c>
      <c r="Y325" s="452" t="s">
        <v>63</v>
      </c>
      <c r="Z325" s="453" t="s">
        <v>5</v>
      </c>
      <c r="AA325" s="453" t="s">
        <v>7</v>
      </c>
      <c r="AB325" s="542" t="s">
        <v>535</v>
      </c>
      <c r="AC325" s="454">
        <v>240</v>
      </c>
      <c r="AD325" s="669">
        <v>219</v>
      </c>
      <c r="AE325" s="633">
        <v>0</v>
      </c>
      <c r="AF325" s="643">
        <v>0</v>
      </c>
      <c r="AG325" s="506"/>
      <c r="AH325" s="506"/>
      <c r="AI325" s="502"/>
    </row>
    <row r="326" spans="1:36" s="77" customFormat="1" ht="31.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459" t="s">
        <v>298</v>
      </c>
      <c r="Y326" s="452" t="s">
        <v>63</v>
      </c>
      <c r="Z326" s="453" t="s">
        <v>5</v>
      </c>
      <c r="AA326" s="453" t="s">
        <v>7</v>
      </c>
      <c r="AB326" s="542" t="s">
        <v>132</v>
      </c>
      <c r="AC326" s="473"/>
      <c r="AD326" s="669">
        <f t="shared" ref="AD326:AF327" si="96">AD327</f>
        <v>1381</v>
      </c>
      <c r="AE326" s="633">
        <f t="shared" si="96"/>
        <v>1365</v>
      </c>
      <c r="AF326" s="643">
        <f t="shared" si="96"/>
        <v>0</v>
      </c>
      <c r="AG326" s="180"/>
      <c r="AH326" s="180"/>
      <c r="AI326" s="147"/>
      <c r="AJ326" s="179"/>
    </row>
    <row r="327" spans="1:36" s="77" customFormat="1" ht="47.25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653" t="s">
        <v>514</v>
      </c>
      <c r="Y327" s="452" t="s">
        <v>63</v>
      </c>
      <c r="Z327" s="453" t="s">
        <v>5</v>
      </c>
      <c r="AA327" s="453" t="s">
        <v>7</v>
      </c>
      <c r="AB327" s="542" t="s">
        <v>300</v>
      </c>
      <c r="AC327" s="454"/>
      <c r="AD327" s="669">
        <f t="shared" si="96"/>
        <v>1381</v>
      </c>
      <c r="AE327" s="633">
        <f t="shared" si="96"/>
        <v>1365</v>
      </c>
      <c r="AF327" s="643">
        <f t="shared" si="96"/>
        <v>0</v>
      </c>
      <c r="AG327" s="180"/>
      <c r="AH327" s="180"/>
      <c r="AI327" s="147"/>
      <c r="AJ327" s="179"/>
    </row>
    <row r="328" spans="1:36" s="77" customFormat="1" ht="31.5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654" t="s">
        <v>304</v>
      </c>
      <c r="Y328" s="452" t="s">
        <v>63</v>
      </c>
      <c r="Z328" s="453" t="s">
        <v>5</v>
      </c>
      <c r="AA328" s="453" t="s">
        <v>7</v>
      </c>
      <c r="AB328" s="542" t="s">
        <v>305</v>
      </c>
      <c r="AC328" s="454"/>
      <c r="AD328" s="669">
        <f t="shared" ref="AD328:AF330" si="97">AD329</f>
        <v>1381</v>
      </c>
      <c r="AE328" s="633">
        <f t="shared" si="97"/>
        <v>1365</v>
      </c>
      <c r="AF328" s="643">
        <f t="shared" si="97"/>
        <v>0</v>
      </c>
      <c r="AG328" s="180"/>
      <c r="AH328" s="180"/>
      <c r="AI328" s="147"/>
    </row>
    <row r="329" spans="1:36" s="77" customFormat="1" ht="47.25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654" t="s">
        <v>351</v>
      </c>
      <c r="Y329" s="452" t="s">
        <v>63</v>
      </c>
      <c r="Z329" s="453" t="s">
        <v>5</v>
      </c>
      <c r="AA329" s="453" t="s">
        <v>7</v>
      </c>
      <c r="AB329" s="542" t="s">
        <v>306</v>
      </c>
      <c r="AC329" s="454"/>
      <c r="AD329" s="669">
        <f>AD330</f>
        <v>1381</v>
      </c>
      <c r="AE329" s="633">
        <f>AE330</f>
        <v>1365</v>
      </c>
      <c r="AF329" s="643">
        <f>AF330</f>
        <v>0</v>
      </c>
      <c r="AG329" s="180"/>
      <c r="AH329" s="180"/>
      <c r="AI329" s="147"/>
    </row>
    <row r="330" spans="1:36" s="77" customFormat="1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451" t="s">
        <v>120</v>
      </c>
      <c r="Y330" s="452" t="s">
        <v>63</v>
      </c>
      <c r="Z330" s="453" t="s">
        <v>5</v>
      </c>
      <c r="AA330" s="453" t="s">
        <v>7</v>
      </c>
      <c r="AB330" s="542" t="s">
        <v>306</v>
      </c>
      <c r="AC330" s="454">
        <v>200</v>
      </c>
      <c r="AD330" s="669">
        <f t="shared" si="97"/>
        <v>1381</v>
      </c>
      <c r="AE330" s="633">
        <f t="shared" si="97"/>
        <v>1365</v>
      </c>
      <c r="AF330" s="643">
        <f t="shared" si="97"/>
        <v>0</v>
      </c>
      <c r="AG330" s="180"/>
      <c r="AH330" s="180"/>
      <c r="AI330" s="147"/>
    </row>
    <row r="331" spans="1:36" s="77" customFormat="1" ht="31.5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451" t="s">
        <v>52</v>
      </c>
      <c r="Y331" s="452" t="s">
        <v>63</v>
      </c>
      <c r="Z331" s="453" t="s">
        <v>5</v>
      </c>
      <c r="AA331" s="453" t="s">
        <v>7</v>
      </c>
      <c r="AB331" s="542" t="s">
        <v>306</v>
      </c>
      <c r="AC331" s="454">
        <v>240</v>
      </c>
      <c r="AD331" s="669">
        <f>1365+16</f>
        <v>1381</v>
      </c>
      <c r="AE331" s="633">
        <v>1365</v>
      </c>
      <c r="AF331" s="643">
        <v>0</v>
      </c>
      <c r="AG331" s="180"/>
      <c r="AH331" s="180"/>
      <c r="AI331" s="147"/>
    </row>
    <row r="332" spans="1:36" s="77" customFormat="1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653" t="s">
        <v>249</v>
      </c>
      <c r="Y332" s="452" t="s">
        <v>63</v>
      </c>
      <c r="Z332" s="453" t="s">
        <v>5</v>
      </c>
      <c r="AA332" s="453" t="s">
        <v>7</v>
      </c>
      <c r="AB332" s="542" t="s">
        <v>250</v>
      </c>
      <c r="AC332" s="450"/>
      <c r="AD332" s="669">
        <f t="shared" ref="AD332:AE336" si="98">AD333</f>
        <v>1510</v>
      </c>
      <c r="AE332" s="633">
        <f t="shared" si="98"/>
        <v>210</v>
      </c>
      <c r="AF332" s="643">
        <f t="shared" ref="AF332:AF336" si="99">AF333</f>
        <v>0</v>
      </c>
      <c r="AG332" s="180"/>
      <c r="AH332" s="180"/>
      <c r="AI332" s="147"/>
    </row>
    <row r="333" spans="1:36" s="77" customFormat="1" ht="34.5" customHeight="1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653" t="s">
        <v>774</v>
      </c>
      <c r="Y333" s="452" t="s">
        <v>63</v>
      </c>
      <c r="Z333" s="453" t="s">
        <v>5</v>
      </c>
      <c r="AA333" s="453" t="s">
        <v>7</v>
      </c>
      <c r="AB333" s="542" t="s">
        <v>251</v>
      </c>
      <c r="AC333" s="482"/>
      <c r="AD333" s="669">
        <f t="shared" si="98"/>
        <v>1510</v>
      </c>
      <c r="AE333" s="633">
        <f t="shared" si="98"/>
        <v>210</v>
      </c>
      <c r="AF333" s="643">
        <f t="shared" si="99"/>
        <v>0</v>
      </c>
      <c r="AG333" s="180"/>
      <c r="AH333" s="180"/>
      <c r="AI333" s="147"/>
    </row>
    <row r="334" spans="1:36" s="77" customFormat="1" ht="31.5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653" t="s">
        <v>787</v>
      </c>
      <c r="Y334" s="452" t="s">
        <v>63</v>
      </c>
      <c r="Z334" s="453" t="s">
        <v>5</v>
      </c>
      <c r="AA334" s="453" t="s">
        <v>7</v>
      </c>
      <c r="AB334" s="542" t="s">
        <v>617</v>
      </c>
      <c r="AC334" s="454"/>
      <c r="AD334" s="669">
        <f t="shared" si="98"/>
        <v>1510</v>
      </c>
      <c r="AE334" s="633">
        <f t="shared" si="98"/>
        <v>210</v>
      </c>
      <c r="AF334" s="643">
        <f t="shared" si="99"/>
        <v>0</v>
      </c>
      <c r="AG334" s="180"/>
      <c r="AH334" s="180"/>
      <c r="AI334" s="147"/>
    </row>
    <row r="335" spans="1:36" s="77" customFormat="1" ht="31.5" x14ac:dyDescent="0.25">
      <c r="A335" s="111"/>
      <c r="B335" s="69"/>
      <c r="C335" s="71"/>
      <c r="D335" s="71"/>
      <c r="E335" s="72"/>
      <c r="F335" s="71"/>
      <c r="G335" s="76"/>
      <c r="H335" s="112"/>
      <c r="I335" s="113"/>
      <c r="J335" s="113"/>
      <c r="K335" s="113"/>
      <c r="L335" s="73"/>
      <c r="M335" s="113"/>
      <c r="N335" s="73"/>
      <c r="O335" s="114"/>
      <c r="P335" s="73"/>
      <c r="Q335" s="75"/>
      <c r="R335" s="95"/>
      <c r="S335" s="95"/>
      <c r="T335" s="95"/>
      <c r="U335" s="95"/>
      <c r="V335" s="95"/>
      <c r="W335" s="112"/>
      <c r="X335" s="459" t="s">
        <v>619</v>
      </c>
      <c r="Y335" s="452" t="s">
        <v>63</v>
      </c>
      <c r="Z335" s="453" t="s">
        <v>5</v>
      </c>
      <c r="AA335" s="453" t="s">
        <v>7</v>
      </c>
      <c r="AB335" s="542" t="s">
        <v>618</v>
      </c>
      <c r="AC335" s="454"/>
      <c r="AD335" s="669">
        <f t="shared" si="98"/>
        <v>1510</v>
      </c>
      <c r="AE335" s="633">
        <f t="shared" si="98"/>
        <v>210</v>
      </c>
      <c r="AF335" s="643">
        <f t="shared" si="99"/>
        <v>0</v>
      </c>
      <c r="AG335" s="180"/>
      <c r="AH335" s="180"/>
      <c r="AI335" s="147"/>
    </row>
    <row r="336" spans="1:36" s="77" customFormat="1" x14ac:dyDescent="0.25">
      <c r="A336" s="111"/>
      <c r="B336" s="69"/>
      <c r="C336" s="71"/>
      <c r="D336" s="71"/>
      <c r="E336" s="72"/>
      <c r="F336" s="71"/>
      <c r="G336" s="76"/>
      <c r="H336" s="112"/>
      <c r="I336" s="113"/>
      <c r="J336" s="113"/>
      <c r="K336" s="113"/>
      <c r="L336" s="73"/>
      <c r="M336" s="113"/>
      <c r="N336" s="73"/>
      <c r="O336" s="114"/>
      <c r="P336" s="73"/>
      <c r="Q336" s="75"/>
      <c r="R336" s="95"/>
      <c r="S336" s="95"/>
      <c r="T336" s="95"/>
      <c r="U336" s="95"/>
      <c r="V336" s="95"/>
      <c r="W336" s="112"/>
      <c r="X336" s="655" t="s">
        <v>120</v>
      </c>
      <c r="Y336" s="452" t="s">
        <v>63</v>
      </c>
      <c r="Z336" s="453" t="s">
        <v>5</v>
      </c>
      <c r="AA336" s="453" t="s">
        <v>7</v>
      </c>
      <c r="AB336" s="542" t="s">
        <v>618</v>
      </c>
      <c r="AC336" s="454">
        <v>200</v>
      </c>
      <c r="AD336" s="669">
        <f t="shared" si="98"/>
        <v>1510</v>
      </c>
      <c r="AE336" s="633">
        <f t="shared" si="98"/>
        <v>210</v>
      </c>
      <c r="AF336" s="643">
        <f t="shared" si="99"/>
        <v>0</v>
      </c>
      <c r="AG336" s="180"/>
      <c r="AH336" s="180"/>
      <c r="AI336" s="147"/>
    </row>
    <row r="337" spans="1:35" s="77" customFormat="1" ht="31.5" x14ac:dyDescent="0.25">
      <c r="A337" s="111"/>
      <c r="B337" s="69"/>
      <c r="C337" s="71"/>
      <c r="D337" s="71"/>
      <c r="E337" s="72"/>
      <c r="F337" s="71"/>
      <c r="G337" s="76"/>
      <c r="H337" s="112"/>
      <c r="I337" s="113"/>
      <c r="J337" s="113"/>
      <c r="K337" s="113"/>
      <c r="L337" s="73"/>
      <c r="M337" s="113"/>
      <c r="N337" s="73"/>
      <c r="O337" s="114"/>
      <c r="P337" s="73"/>
      <c r="Q337" s="75"/>
      <c r="R337" s="95"/>
      <c r="S337" s="95"/>
      <c r="T337" s="95"/>
      <c r="U337" s="95"/>
      <c r="V337" s="95"/>
      <c r="W337" s="112"/>
      <c r="X337" s="655" t="s">
        <v>52</v>
      </c>
      <c r="Y337" s="452" t="s">
        <v>63</v>
      </c>
      <c r="Z337" s="453" t="s">
        <v>5</v>
      </c>
      <c r="AA337" s="453" t="s">
        <v>7</v>
      </c>
      <c r="AB337" s="542" t="s">
        <v>618</v>
      </c>
      <c r="AC337" s="454">
        <v>240</v>
      </c>
      <c r="AD337" s="669">
        <f>210+1300</f>
        <v>1510</v>
      </c>
      <c r="AE337" s="633">
        <v>210</v>
      </c>
      <c r="AF337" s="643">
        <v>0</v>
      </c>
      <c r="AG337" s="180"/>
      <c r="AH337" s="180"/>
      <c r="AI337" s="147"/>
    </row>
    <row r="338" spans="1:35" s="103" customFormat="1" x14ac:dyDescent="0.25">
      <c r="A338" s="47"/>
      <c r="B338" s="78"/>
      <c r="C338" s="79"/>
      <c r="D338" s="79"/>
      <c r="E338" s="80"/>
      <c r="F338" s="104"/>
      <c r="G338" s="81"/>
      <c r="H338" s="105"/>
      <c r="I338" s="49"/>
      <c r="J338" s="49"/>
      <c r="K338" s="49"/>
      <c r="L338" s="73"/>
      <c r="M338" s="49"/>
      <c r="N338" s="73"/>
      <c r="O338" s="82"/>
      <c r="P338" s="81"/>
      <c r="Q338" s="83"/>
      <c r="R338" s="87"/>
      <c r="S338" s="87"/>
      <c r="T338" s="87"/>
      <c r="U338" s="87"/>
      <c r="V338" s="87"/>
      <c r="W338" s="105"/>
      <c r="X338" s="457" t="s">
        <v>242</v>
      </c>
      <c r="Y338" s="452" t="s">
        <v>63</v>
      </c>
      <c r="Z338" s="453" t="s">
        <v>5</v>
      </c>
      <c r="AA338" s="453" t="s">
        <v>7</v>
      </c>
      <c r="AB338" s="542" t="s">
        <v>243</v>
      </c>
      <c r="AC338" s="473"/>
      <c r="AD338" s="669">
        <f>AD344+AD339</f>
        <v>314488.10000000003</v>
      </c>
      <c r="AE338" s="669">
        <f t="shared" ref="AE338:AF338" si="100">AE344+AE339+AE339</f>
        <v>287936</v>
      </c>
      <c r="AF338" s="669">
        <f t="shared" si="100"/>
        <v>301763</v>
      </c>
      <c r="AG338" s="180"/>
      <c r="AH338" s="180"/>
      <c r="AI338" s="147"/>
    </row>
    <row r="339" spans="1:35" s="500" customFormat="1" x14ac:dyDescent="0.25">
      <c r="A339" s="491"/>
      <c r="B339" s="493"/>
      <c r="C339" s="494"/>
      <c r="D339" s="494"/>
      <c r="E339" s="495"/>
      <c r="F339" s="104"/>
      <c r="G339" s="496"/>
      <c r="H339" s="105"/>
      <c r="I339" s="49"/>
      <c r="J339" s="49"/>
      <c r="K339" s="49"/>
      <c r="L339" s="492"/>
      <c r="M339" s="49"/>
      <c r="N339" s="492"/>
      <c r="O339" s="82"/>
      <c r="P339" s="496"/>
      <c r="Q339" s="497"/>
      <c r="R339" s="498"/>
      <c r="S339" s="498"/>
      <c r="T339" s="498"/>
      <c r="U339" s="498"/>
      <c r="V339" s="498"/>
      <c r="W339" s="105"/>
      <c r="X339" s="259" t="s">
        <v>369</v>
      </c>
      <c r="Y339" s="452" t="s">
        <v>63</v>
      </c>
      <c r="Z339" s="191" t="s">
        <v>5</v>
      </c>
      <c r="AA339" s="516" t="s">
        <v>7</v>
      </c>
      <c r="AB339" s="156" t="s">
        <v>370</v>
      </c>
      <c r="AC339" s="473"/>
      <c r="AD339" s="669">
        <f>AD340</f>
        <v>27273.500000000004</v>
      </c>
      <c r="AE339" s="669">
        <f t="shared" ref="AE339:AF340" si="101">AE340</f>
        <v>0</v>
      </c>
      <c r="AF339" s="669">
        <f t="shared" si="101"/>
        <v>0</v>
      </c>
      <c r="AG339" s="506"/>
      <c r="AH339" s="506"/>
      <c r="AI339" s="502"/>
    </row>
    <row r="340" spans="1:35" s="500" customFormat="1" ht="31.5" x14ac:dyDescent="0.25">
      <c r="A340" s="491"/>
      <c r="B340" s="493"/>
      <c r="C340" s="494"/>
      <c r="D340" s="494"/>
      <c r="E340" s="495"/>
      <c r="F340" s="104"/>
      <c r="G340" s="496"/>
      <c r="H340" s="105"/>
      <c r="I340" s="49"/>
      <c r="J340" s="49"/>
      <c r="K340" s="49"/>
      <c r="L340" s="492"/>
      <c r="M340" s="49"/>
      <c r="N340" s="492"/>
      <c r="O340" s="82"/>
      <c r="P340" s="496"/>
      <c r="Q340" s="497"/>
      <c r="R340" s="498"/>
      <c r="S340" s="498"/>
      <c r="T340" s="498"/>
      <c r="U340" s="498"/>
      <c r="V340" s="498"/>
      <c r="W340" s="105"/>
      <c r="X340" s="259" t="s">
        <v>393</v>
      </c>
      <c r="Y340" s="452" t="s">
        <v>63</v>
      </c>
      <c r="Z340" s="191" t="s">
        <v>5</v>
      </c>
      <c r="AA340" s="516" t="s">
        <v>7</v>
      </c>
      <c r="AB340" s="156" t="s">
        <v>394</v>
      </c>
      <c r="AC340" s="473"/>
      <c r="AD340" s="669">
        <f>AD341</f>
        <v>27273.500000000004</v>
      </c>
      <c r="AE340" s="669">
        <f t="shared" si="101"/>
        <v>0</v>
      </c>
      <c r="AF340" s="669">
        <f t="shared" si="101"/>
        <v>0</v>
      </c>
      <c r="AG340" s="506"/>
      <c r="AH340" s="506"/>
      <c r="AI340" s="502"/>
    </row>
    <row r="341" spans="1:35" s="500" customFormat="1" x14ac:dyDescent="0.25">
      <c r="A341" s="491"/>
      <c r="B341" s="493"/>
      <c r="C341" s="494"/>
      <c r="D341" s="494"/>
      <c r="E341" s="495"/>
      <c r="F341" s="104"/>
      <c r="G341" s="496"/>
      <c r="H341" s="105"/>
      <c r="I341" s="49"/>
      <c r="J341" s="49"/>
      <c r="K341" s="49"/>
      <c r="L341" s="492"/>
      <c r="M341" s="49"/>
      <c r="N341" s="492"/>
      <c r="O341" s="82"/>
      <c r="P341" s="496"/>
      <c r="Q341" s="497"/>
      <c r="R341" s="498"/>
      <c r="S341" s="498"/>
      <c r="T341" s="498"/>
      <c r="U341" s="498"/>
      <c r="V341" s="498"/>
      <c r="W341" s="105"/>
      <c r="X341" s="451" t="s">
        <v>396</v>
      </c>
      <c r="Y341" s="452" t="s">
        <v>63</v>
      </c>
      <c r="Z341" s="453" t="s">
        <v>5</v>
      </c>
      <c r="AA341" s="453" t="s">
        <v>7</v>
      </c>
      <c r="AB341" s="542" t="s">
        <v>397</v>
      </c>
      <c r="AC341" s="473"/>
      <c r="AD341" s="669">
        <f t="shared" ref="AD341:AF342" si="102">AD342</f>
        <v>27273.500000000004</v>
      </c>
      <c r="AE341" s="669">
        <f t="shared" si="102"/>
        <v>0</v>
      </c>
      <c r="AF341" s="669">
        <f t="shared" si="102"/>
        <v>0</v>
      </c>
      <c r="AG341" s="506"/>
      <c r="AH341" s="506"/>
      <c r="AI341" s="502"/>
    </row>
    <row r="342" spans="1:35" s="500" customFormat="1" ht="31.5" x14ac:dyDescent="0.25">
      <c r="A342" s="491"/>
      <c r="B342" s="493"/>
      <c r="C342" s="494"/>
      <c r="D342" s="494"/>
      <c r="E342" s="495"/>
      <c r="F342" s="104"/>
      <c r="G342" s="496"/>
      <c r="H342" s="105"/>
      <c r="I342" s="49"/>
      <c r="J342" s="49"/>
      <c r="K342" s="49"/>
      <c r="L342" s="492"/>
      <c r="M342" s="49"/>
      <c r="N342" s="492"/>
      <c r="O342" s="82"/>
      <c r="P342" s="496"/>
      <c r="Q342" s="497"/>
      <c r="R342" s="498"/>
      <c r="S342" s="498"/>
      <c r="T342" s="498"/>
      <c r="U342" s="498"/>
      <c r="V342" s="498"/>
      <c r="W342" s="105"/>
      <c r="X342" s="451" t="s">
        <v>60</v>
      </c>
      <c r="Y342" s="452" t="s">
        <v>63</v>
      </c>
      <c r="Z342" s="453" t="s">
        <v>5</v>
      </c>
      <c r="AA342" s="453" t="s">
        <v>7</v>
      </c>
      <c r="AB342" s="542" t="s">
        <v>397</v>
      </c>
      <c r="AC342" s="482">
        <v>600</v>
      </c>
      <c r="AD342" s="669">
        <f t="shared" si="102"/>
        <v>27273.500000000004</v>
      </c>
      <c r="AE342" s="669">
        <f t="shared" si="102"/>
        <v>0</v>
      </c>
      <c r="AF342" s="669">
        <f t="shared" si="102"/>
        <v>0</v>
      </c>
      <c r="AG342" s="506"/>
      <c r="AH342" s="506"/>
      <c r="AI342" s="502"/>
    </row>
    <row r="343" spans="1:35" s="500" customFormat="1" x14ac:dyDescent="0.25">
      <c r="A343" s="491"/>
      <c r="B343" s="493"/>
      <c r="C343" s="494"/>
      <c r="D343" s="494"/>
      <c r="E343" s="495"/>
      <c r="F343" s="104"/>
      <c r="G343" s="496"/>
      <c r="H343" s="105"/>
      <c r="I343" s="49"/>
      <c r="J343" s="49"/>
      <c r="K343" s="49"/>
      <c r="L343" s="492"/>
      <c r="M343" s="49"/>
      <c r="N343" s="492"/>
      <c r="O343" s="82"/>
      <c r="P343" s="496"/>
      <c r="Q343" s="497"/>
      <c r="R343" s="498"/>
      <c r="S343" s="498"/>
      <c r="T343" s="498"/>
      <c r="U343" s="498"/>
      <c r="V343" s="498"/>
      <c r="W343" s="105"/>
      <c r="X343" s="451" t="s">
        <v>61</v>
      </c>
      <c r="Y343" s="452" t="s">
        <v>63</v>
      </c>
      <c r="Z343" s="453" t="s">
        <v>5</v>
      </c>
      <c r="AA343" s="453" t="s">
        <v>7</v>
      </c>
      <c r="AB343" s="542" t="s">
        <v>397</v>
      </c>
      <c r="AC343" s="473" t="s">
        <v>387</v>
      </c>
      <c r="AD343" s="669">
        <f>4444.1+22008.7+137.9+682.8</f>
        <v>27273.500000000004</v>
      </c>
      <c r="AE343" s="633">
        <v>0</v>
      </c>
      <c r="AF343" s="643">
        <v>0</v>
      </c>
      <c r="AG343" s="506"/>
      <c r="AH343" s="506"/>
      <c r="AI343" s="502"/>
    </row>
    <row r="344" spans="1:35" s="103" customFormat="1" ht="31.5" x14ac:dyDescent="0.25">
      <c r="A344" s="47"/>
      <c r="B344" s="78"/>
      <c r="C344" s="79"/>
      <c r="D344" s="79"/>
      <c r="E344" s="80"/>
      <c r="F344" s="104"/>
      <c r="G344" s="81"/>
      <c r="H344" s="105"/>
      <c r="I344" s="49"/>
      <c r="J344" s="49"/>
      <c r="K344" s="49"/>
      <c r="L344" s="73"/>
      <c r="M344" s="49"/>
      <c r="N344" s="73"/>
      <c r="O344" s="82"/>
      <c r="P344" s="81"/>
      <c r="Q344" s="83"/>
      <c r="R344" s="87"/>
      <c r="S344" s="87"/>
      <c r="T344" s="87"/>
      <c r="U344" s="87"/>
      <c r="V344" s="87"/>
      <c r="W344" s="105"/>
      <c r="X344" s="656" t="s">
        <v>539</v>
      </c>
      <c r="Y344" s="452" t="s">
        <v>63</v>
      </c>
      <c r="Z344" s="453" t="s">
        <v>5</v>
      </c>
      <c r="AA344" s="453" t="s">
        <v>7</v>
      </c>
      <c r="AB344" s="542" t="s">
        <v>244</v>
      </c>
      <c r="AC344" s="473"/>
      <c r="AD344" s="669">
        <f t="shared" ref="AD344:AF350" si="103">AD345</f>
        <v>287214.60000000003</v>
      </c>
      <c r="AE344" s="633">
        <f t="shared" si="103"/>
        <v>287936</v>
      </c>
      <c r="AF344" s="643">
        <f t="shared" si="103"/>
        <v>301763</v>
      </c>
      <c r="AG344" s="180"/>
      <c r="AH344" s="180"/>
      <c r="AI344" s="147"/>
    </row>
    <row r="345" spans="1:35" s="103" customFormat="1" ht="31.5" x14ac:dyDescent="0.25">
      <c r="A345" s="47"/>
      <c r="B345" s="78"/>
      <c r="C345" s="79"/>
      <c r="D345" s="79"/>
      <c r="E345" s="80"/>
      <c r="F345" s="104"/>
      <c r="G345" s="81"/>
      <c r="H345" s="105"/>
      <c r="I345" s="49"/>
      <c r="J345" s="49"/>
      <c r="K345" s="49"/>
      <c r="L345" s="73"/>
      <c r="M345" s="49"/>
      <c r="N345" s="73"/>
      <c r="O345" s="82"/>
      <c r="P345" s="81"/>
      <c r="Q345" s="83"/>
      <c r="R345" s="87"/>
      <c r="S345" s="87"/>
      <c r="T345" s="87"/>
      <c r="U345" s="87"/>
      <c r="V345" s="87"/>
      <c r="W345" s="105"/>
      <c r="X345" s="466" t="s">
        <v>540</v>
      </c>
      <c r="Y345" s="452" t="s">
        <v>63</v>
      </c>
      <c r="Z345" s="453" t="s">
        <v>5</v>
      </c>
      <c r="AA345" s="453" t="s">
        <v>7</v>
      </c>
      <c r="AB345" s="542" t="s">
        <v>245</v>
      </c>
      <c r="AC345" s="454"/>
      <c r="AD345" s="669">
        <f>AD349+AD346</f>
        <v>287214.60000000003</v>
      </c>
      <c r="AE345" s="669">
        <f t="shared" ref="AE345:AF345" si="104">AE349+AE346</f>
        <v>287936</v>
      </c>
      <c r="AF345" s="669">
        <f t="shared" si="104"/>
        <v>301763</v>
      </c>
      <c r="AG345" s="180"/>
      <c r="AH345" s="180"/>
      <c r="AI345" s="147"/>
    </row>
    <row r="346" spans="1:35" s="500" customFormat="1" x14ac:dyDescent="0.25">
      <c r="A346" s="491"/>
      <c r="B346" s="493"/>
      <c r="C346" s="494"/>
      <c r="D346" s="494"/>
      <c r="E346" s="495"/>
      <c r="F346" s="104"/>
      <c r="G346" s="496"/>
      <c r="H346" s="105"/>
      <c r="I346" s="49"/>
      <c r="J346" s="49"/>
      <c r="K346" s="49"/>
      <c r="L346" s="492"/>
      <c r="M346" s="49"/>
      <c r="N346" s="492"/>
      <c r="O346" s="82"/>
      <c r="P346" s="496"/>
      <c r="Q346" s="497"/>
      <c r="R346" s="498"/>
      <c r="S346" s="498"/>
      <c r="T346" s="498"/>
      <c r="U346" s="498"/>
      <c r="V346" s="498"/>
      <c r="W346" s="105"/>
      <c r="X346" s="466" t="s">
        <v>891</v>
      </c>
      <c r="Y346" s="452" t="s">
        <v>63</v>
      </c>
      <c r="Z346" s="453" t="s">
        <v>5</v>
      </c>
      <c r="AA346" s="453" t="s">
        <v>7</v>
      </c>
      <c r="AB346" s="542" t="s">
        <v>892</v>
      </c>
      <c r="AC346" s="454"/>
      <c r="AD346" s="669">
        <f>AD347</f>
        <v>853.9</v>
      </c>
      <c r="AE346" s="669">
        <f t="shared" ref="AE346:AF346" si="105">AE347</f>
        <v>0</v>
      </c>
      <c r="AF346" s="669">
        <f t="shared" si="105"/>
        <v>0</v>
      </c>
      <c r="AG346" s="506"/>
      <c r="AH346" s="506"/>
      <c r="AI346" s="502"/>
    </row>
    <row r="347" spans="1:35" s="500" customFormat="1" ht="31.5" x14ac:dyDescent="0.25">
      <c r="A347" s="491"/>
      <c r="B347" s="493"/>
      <c r="C347" s="494"/>
      <c r="D347" s="494"/>
      <c r="E347" s="495"/>
      <c r="F347" s="104"/>
      <c r="G347" s="496"/>
      <c r="H347" s="105"/>
      <c r="I347" s="49"/>
      <c r="J347" s="49"/>
      <c r="K347" s="49"/>
      <c r="L347" s="492"/>
      <c r="M347" s="49"/>
      <c r="N347" s="492"/>
      <c r="O347" s="82"/>
      <c r="P347" s="496"/>
      <c r="Q347" s="497"/>
      <c r="R347" s="498"/>
      <c r="S347" s="498"/>
      <c r="T347" s="498"/>
      <c r="U347" s="498"/>
      <c r="V347" s="498"/>
      <c r="W347" s="105"/>
      <c r="X347" s="451" t="s">
        <v>60</v>
      </c>
      <c r="Y347" s="452" t="s">
        <v>63</v>
      </c>
      <c r="Z347" s="453" t="s">
        <v>5</v>
      </c>
      <c r="AA347" s="453" t="s">
        <v>7</v>
      </c>
      <c r="AB347" s="542" t="s">
        <v>892</v>
      </c>
      <c r="AC347" s="454">
        <v>600</v>
      </c>
      <c r="AD347" s="669">
        <f>AD348</f>
        <v>853.9</v>
      </c>
      <c r="AE347" s="669">
        <f t="shared" ref="AE347:AF347" si="106">AE348</f>
        <v>0</v>
      </c>
      <c r="AF347" s="669">
        <f t="shared" si="106"/>
        <v>0</v>
      </c>
      <c r="AG347" s="506"/>
      <c r="AH347" s="506"/>
      <c r="AI347" s="502"/>
    </row>
    <row r="348" spans="1:35" s="500" customFormat="1" x14ac:dyDescent="0.25">
      <c r="A348" s="491"/>
      <c r="B348" s="493"/>
      <c r="C348" s="494"/>
      <c r="D348" s="494"/>
      <c r="E348" s="495"/>
      <c r="F348" s="104"/>
      <c r="G348" s="496"/>
      <c r="H348" s="105"/>
      <c r="I348" s="49"/>
      <c r="J348" s="49"/>
      <c r="K348" s="49"/>
      <c r="L348" s="492"/>
      <c r="M348" s="49"/>
      <c r="N348" s="492"/>
      <c r="O348" s="82"/>
      <c r="P348" s="496"/>
      <c r="Q348" s="497"/>
      <c r="R348" s="498"/>
      <c r="S348" s="498"/>
      <c r="T348" s="498"/>
      <c r="U348" s="498"/>
      <c r="V348" s="498"/>
      <c r="W348" s="105"/>
      <c r="X348" s="451" t="s">
        <v>61</v>
      </c>
      <c r="Y348" s="452" t="s">
        <v>63</v>
      </c>
      <c r="Z348" s="453" t="s">
        <v>5</v>
      </c>
      <c r="AA348" s="453" t="s">
        <v>7</v>
      </c>
      <c r="AB348" s="542" t="s">
        <v>892</v>
      </c>
      <c r="AC348" s="454">
        <v>610</v>
      </c>
      <c r="AD348" s="669">
        <v>853.9</v>
      </c>
      <c r="AE348" s="633">
        <v>0</v>
      </c>
      <c r="AF348" s="643">
        <v>0</v>
      </c>
      <c r="AG348" s="506"/>
      <c r="AH348" s="506"/>
      <c r="AI348" s="502"/>
    </row>
    <row r="349" spans="1:35" s="103" customFormat="1" ht="31.5" x14ac:dyDescent="0.25">
      <c r="A349" s="47"/>
      <c r="B349" s="78"/>
      <c r="C349" s="79"/>
      <c r="D349" s="79"/>
      <c r="E349" s="80"/>
      <c r="F349" s="104"/>
      <c r="G349" s="81"/>
      <c r="H349" s="105"/>
      <c r="I349" s="49"/>
      <c r="J349" s="49"/>
      <c r="K349" s="49"/>
      <c r="L349" s="73"/>
      <c r="M349" s="49"/>
      <c r="N349" s="73"/>
      <c r="O349" s="82"/>
      <c r="P349" s="81"/>
      <c r="Q349" s="83"/>
      <c r="R349" s="87"/>
      <c r="S349" s="87"/>
      <c r="T349" s="87"/>
      <c r="U349" s="87"/>
      <c r="V349" s="87"/>
      <c r="W349" s="105"/>
      <c r="X349" s="466" t="s">
        <v>583</v>
      </c>
      <c r="Y349" s="452" t="s">
        <v>63</v>
      </c>
      <c r="Z349" s="453" t="s">
        <v>5</v>
      </c>
      <c r="AA349" s="453" t="s">
        <v>7</v>
      </c>
      <c r="AB349" s="542" t="s">
        <v>419</v>
      </c>
      <c r="AC349" s="454"/>
      <c r="AD349" s="669">
        <f t="shared" si="103"/>
        <v>286360.7</v>
      </c>
      <c r="AE349" s="633">
        <f t="shared" si="103"/>
        <v>287936</v>
      </c>
      <c r="AF349" s="643">
        <f t="shared" si="103"/>
        <v>301763</v>
      </c>
      <c r="AG349" s="180"/>
      <c r="AH349" s="180"/>
      <c r="AI349" s="147"/>
    </row>
    <row r="350" spans="1:35" s="103" customFormat="1" ht="31.5" x14ac:dyDescent="0.25">
      <c r="A350" s="47"/>
      <c r="B350" s="78"/>
      <c r="C350" s="79"/>
      <c r="D350" s="79"/>
      <c r="E350" s="80"/>
      <c r="F350" s="104"/>
      <c r="G350" s="81"/>
      <c r="H350" s="105"/>
      <c r="I350" s="49"/>
      <c r="J350" s="49"/>
      <c r="K350" s="49"/>
      <c r="L350" s="73"/>
      <c r="M350" s="49"/>
      <c r="N350" s="73"/>
      <c r="O350" s="82"/>
      <c r="P350" s="81"/>
      <c r="Q350" s="83"/>
      <c r="R350" s="87"/>
      <c r="S350" s="87"/>
      <c r="T350" s="87"/>
      <c r="U350" s="87"/>
      <c r="V350" s="87"/>
      <c r="W350" s="105"/>
      <c r="X350" s="451" t="s">
        <v>60</v>
      </c>
      <c r="Y350" s="452" t="s">
        <v>63</v>
      </c>
      <c r="Z350" s="453" t="s">
        <v>5</v>
      </c>
      <c r="AA350" s="453" t="s">
        <v>7</v>
      </c>
      <c r="AB350" s="542" t="s">
        <v>419</v>
      </c>
      <c r="AC350" s="482">
        <v>600</v>
      </c>
      <c r="AD350" s="669">
        <f t="shared" si="103"/>
        <v>286360.7</v>
      </c>
      <c r="AE350" s="633">
        <f t="shared" si="103"/>
        <v>287936</v>
      </c>
      <c r="AF350" s="643">
        <f t="shared" si="103"/>
        <v>301763</v>
      </c>
      <c r="AG350" s="180"/>
      <c r="AH350" s="180"/>
      <c r="AI350" s="147"/>
    </row>
    <row r="351" spans="1:35" s="103" customFormat="1" x14ac:dyDescent="0.25">
      <c r="A351" s="47"/>
      <c r="B351" s="78"/>
      <c r="C351" s="79"/>
      <c r="D351" s="79"/>
      <c r="E351" s="80"/>
      <c r="F351" s="104"/>
      <c r="G351" s="81"/>
      <c r="H351" s="105"/>
      <c r="I351" s="49"/>
      <c r="J351" s="49"/>
      <c r="K351" s="49"/>
      <c r="L351" s="73"/>
      <c r="M351" s="49"/>
      <c r="N351" s="73"/>
      <c r="O351" s="82"/>
      <c r="P351" s="81"/>
      <c r="Q351" s="83"/>
      <c r="R351" s="87"/>
      <c r="S351" s="87"/>
      <c r="T351" s="87"/>
      <c r="U351" s="87"/>
      <c r="V351" s="87"/>
      <c r="W351" s="105"/>
      <c r="X351" s="451" t="s">
        <v>61</v>
      </c>
      <c r="Y351" s="452" t="s">
        <v>63</v>
      </c>
      <c r="Z351" s="453" t="s">
        <v>5</v>
      </c>
      <c r="AA351" s="453" t="s">
        <v>7</v>
      </c>
      <c r="AB351" s="542" t="s">
        <v>419</v>
      </c>
      <c r="AC351" s="454">
        <v>610</v>
      </c>
      <c r="AD351" s="669">
        <f>275692+2028.7+8640</f>
        <v>286360.7</v>
      </c>
      <c r="AE351" s="633">
        <v>287936</v>
      </c>
      <c r="AF351" s="643">
        <v>301763</v>
      </c>
      <c r="AG351" s="180"/>
      <c r="AH351" s="180"/>
      <c r="AI351" s="147"/>
    </row>
    <row r="352" spans="1:35" s="500" customFormat="1" x14ac:dyDescent="0.25">
      <c r="A352" s="491"/>
      <c r="B352" s="493"/>
      <c r="C352" s="494"/>
      <c r="D352" s="494"/>
      <c r="E352" s="495"/>
      <c r="F352" s="104"/>
      <c r="G352" s="496"/>
      <c r="H352" s="105"/>
      <c r="I352" s="49"/>
      <c r="J352" s="49"/>
      <c r="K352" s="49"/>
      <c r="L352" s="492"/>
      <c r="M352" s="49"/>
      <c r="N352" s="492"/>
      <c r="O352" s="82"/>
      <c r="P352" s="496"/>
      <c r="Q352" s="497"/>
      <c r="R352" s="498"/>
      <c r="S352" s="498"/>
      <c r="T352" s="498"/>
      <c r="U352" s="498"/>
      <c r="V352" s="498"/>
      <c r="W352" s="105"/>
      <c r="X352" s="254" t="s">
        <v>39</v>
      </c>
      <c r="Y352" s="448" t="s">
        <v>63</v>
      </c>
      <c r="Z352" s="530" t="s">
        <v>95</v>
      </c>
      <c r="AA352" s="550"/>
      <c r="AB352" s="551"/>
      <c r="AC352" s="188"/>
      <c r="AD352" s="672">
        <f t="shared" ref="AD352:AF358" si="107">AD353</f>
        <v>134</v>
      </c>
      <c r="AE352" s="636">
        <f t="shared" si="107"/>
        <v>134</v>
      </c>
      <c r="AF352" s="645">
        <f t="shared" si="107"/>
        <v>134</v>
      </c>
      <c r="AG352" s="506"/>
      <c r="AH352" s="506"/>
      <c r="AI352" s="502"/>
    </row>
    <row r="353" spans="1:35" s="500" customFormat="1" x14ac:dyDescent="0.25">
      <c r="A353" s="491"/>
      <c r="B353" s="493"/>
      <c r="C353" s="494"/>
      <c r="D353" s="494"/>
      <c r="E353" s="495"/>
      <c r="F353" s="104"/>
      <c r="G353" s="496"/>
      <c r="H353" s="105"/>
      <c r="I353" s="49"/>
      <c r="J353" s="49"/>
      <c r="K353" s="49"/>
      <c r="L353" s="492"/>
      <c r="M353" s="49"/>
      <c r="N353" s="492"/>
      <c r="O353" s="82"/>
      <c r="P353" s="496"/>
      <c r="Q353" s="497"/>
      <c r="R353" s="498"/>
      <c r="S353" s="498"/>
      <c r="T353" s="498"/>
      <c r="U353" s="498"/>
      <c r="V353" s="498"/>
      <c r="W353" s="105"/>
      <c r="X353" s="523" t="s">
        <v>691</v>
      </c>
      <c r="Y353" s="511" t="s">
        <v>63</v>
      </c>
      <c r="Z353" s="15" t="s">
        <v>95</v>
      </c>
      <c r="AA353" s="515" t="s">
        <v>5</v>
      </c>
      <c r="AB353" s="409"/>
      <c r="AC353" s="516"/>
      <c r="AD353" s="670">
        <f t="shared" si="107"/>
        <v>134</v>
      </c>
      <c r="AE353" s="634">
        <f t="shared" si="107"/>
        <v>134</v>
      </c>
      <c r="AF353" s="646">
        <f t="shared" si="107"/>
        <v>134</v>
      </c>
      <c r="AG353" s="506"/>
      <c r="AH353" s="506"/>
      <c r="AI353" s="502"/>
    </row>
    <row r="354" spans="1:35" s="500" customFormat="1" x14ac:dyDescent="0.25">
      <c r="A354" s="491"/>
      <c r="B354" s="493"/>
      <c r="C354" s="494"/>
      <c r="D354" s="494"/>
      <c r="E354" s="495"/>
      <c r="F354" s="104"/>
      <c r="G354" s="496"/>
      <c r="H354" s="105"/>
      <c r="I354" s="49"/>
      <c r="J354" s="49"/>
      <c r="K354" s="49"/>
      <c r="L354" s="492"/>
      <c r="M354" s="49"/>
      <c r="N354" s="492"/>
      <c r="O354" s="82"/>
      <c r="P354" s="496"/>
      <c r="Q354" s="497"/>
      <c r="R354" s="498"/>
      <c r="S354" s="498"/>
      <c r="T354" s="498"/>
      <c r="U354" s="498"/>
      <c r="V354" s="498"/>
      <c r="W354" s="105"/>
      <c r="X354" s="523" t="s">
        <v>692</v>
      </c>
      <c r="Y354" s="511" t="s">
        <v>63</v>
      </c>
      <c r="Z354" s="15" t="s">
        <v>95</v>
      </c>
      <c r="AA354" s="515" t="s">
        <v>5</v>
      </c>
      <c r="AB354" s="409" t="s">
        <v>693</v>
      </c>
      <c r="AC354" s="516"/>
      <c r="AD354" s="670">
        <f t="shared" si="107"/>
        <v>134</v>
      </c>
      <c r="AE354" s="634">
        <f t="shared" si="107"/>
        <v>134</v>
      </c>
      <c r="AF354" s="646">
        <f t="shared" si="107"/>
        <v>134</v>
      </c>
      <c r="AG354" s="506"/>
      <c r="AH354" s="506"/>
      <c r="AI354" s="502"/>
    </row>
    <row r="355" spans="1:35" s="500" customFormat="1" x14ac:dyDescent="0.25">
      <c r="A355" s="491"/>
      <c r="B355" s="493"/>
      <c r="C355" s="494"/>
      <c r="D355" s="494"/>
      <c r="E355" s="495"/>
      <c r="F355" s="104"/>
      <c r="G355" s="496"/>
      <c r="H355" s="105"/>
      <c r="I355" s="49"/>
      <c r="J355" s="49"/>
      <c r="K355" s="49"/>
      <c r="L355" s="492"/>
      <c r="M355" s="49"/>
      <c r="N355" s="492"/>
      <c r="O355" s="82"/>
      <c r="P355" s="496"/>
      <c r="Q355" s="497"/>
      <c r="R355" s="498"/>
      <c r="S355" s="498"/>
      <c r="T355" s="498"/>
      <c r="U355" s="498"/>
      <c r="V355" s="498"/>
      <c r="W355" s="105"/>
      <c r="X355" s="523" t="s">
        <v>694</v>
      </c>
      <c r="Y355" s="511" t="s">
        <v>63</v>
      </c>
      <c r="Z355" s="15" t="s">
        <v>95</v>
      </c>
      <c r="AA355" s="515" t="s">
        <v>5</v>
      </c>
      <c r="AB355" s="409" t="s">
        <v>695</v>
      </c>
      <c r="AC355" s="516"/>
      <c r="AD355" s="670">
        <f t="shared" si="107"/>
        <v>134</v>
      </c>
      <c r="AE355" s="634">
        <f t="shared" si="107"/>
        <v>134</v>
      </c>
      <c r="AF355" s="646">
        <f t="shared" si="107"/>
        <v>134</v>
      </c>
      <c r="AG355" s="506"/>
      <c r="AH355" s="506"/>
      <c r="AI355" s="502"/>
    </row>
    <row r="356" spans="1:35" s="500" customFormat="1" x14ac:dyDescent="0.25">
      <c r="A356" s="491"/>
      <c r="B356" s="493"/>
      <c r="C356" s="494"/>
      <c r="D356" s="494"/>
      <c r="E356" s="495"/>
      <c r="F356" s="104"/>
      <c r="G356" s="496"/>
      <c r="H356" s="105"/>
      <c r="I356" s="49"/>
      <c r="J356" s="49"/>
      <c r="K356" s="49"/>
      <c r="L356" s="492"/>
      <c r="M356" s="49"/>
      <c r="N356" s="492"/>
      <c r="O356" s="82"/>
      <c r="P356" s="496"/>
      <c r="Q356" s="497"/>
      <c r="R356" s="498"/>
      <c r="S356" s="498"/>
      <c r="T356" s="498"/>
      <c r="U356" s="498"/>
      <c r="V356" s="498"/>
      <c r="W356" s="105"/>
      <c r="X356" s="523" t="s">
        <v>696</v>
      </c>
      <c r="Y356" s="511" t="s">
        <v>63</v>
      </c>
      <c r="Z356" s="15" t="s">
        <v>95</v>
      </c>
      <c r="AA356" s="515" t="s">
        <v>5</v>
      </c>
      <c r="AB356" s="409" t="s">
        <v>697</v>
      </c>
      <c r="AC356" s="516"/>
      <c r="AD356" s="670">
        <f t="shared" si="107"/>
        <v>134</v>
      </c>
      <c r="AE356" s="634">
        <f t="shared" si="107"/>
        <v>134</v>
      </c>
      <c r="AF356" s="646">
        <f t="shared" si="107"/>
        <v>134</v>
      </c>
      <c r="AG356" s="506"/>
      <c r="AH356" s="506"/>
      <c r="AI356" s="502"/>
    </row>
    <row r="357" spans="1:35" s="500" customFormat="1" ht="31.5" x14ac:dyDescent="0.25">
      <c r="A357" s="491"/>
      <c r="B357" s="493"/>
      <c r="C357" s="494"/>
      <c r="D357" s="494"/>
      <c r="E357" s="495"/>
      <c r="F357" s="104"/>
      <c r="G357" s="496"/>
      <c r="H357" s="105"/>
      <c r="I357" s="49"/>
      <c r="J357" s="49"/>
      <c r="K357" s="49"/>
      <c r="L357" s="492"/>
      <c r="M357" s="49"/>
      <c r="N357" s="492"/>
      <c r="O357" s="82"/>
      <c r="P357" s="496"/>
      <c r="Q357" s="497"/>
      <c r="R357" s="498"/>
      <c r="S357" s="498"/>
      <c r="T357" s="498"/>
      <c r="U357" s="498"/>
      <c r="V357" s="498"/>
      <c r="W357" s="105"/>
      <c r="X357" s="523" t="s">
        <v>750</v>
      </c>
      <c r="Y357" s="511" t="s">
        <v>63</v>
      </c>
      <c r="Z357" s="15" t="s">
        <v>95</v>
      </c>
      <c r="AA357" s="515" t="s">
        <v>5</v>
      </c>
      <c r="AB357" s="409" t="s">
        <v>698</v>
      </c>
      <c r="AC357" s="516"/>
      <c r="AD357" s="670">
        <f t="shared" si="107"/>
        <v>134</v>
      </c>
      <c r="AE357" s="634">
        <f t="shared" si="107"/>
        <v>134</v>
      </c>
      <c r="AF357" s="646">
        <f t="shared" si="107"/>
        <v>134</v>
      </c>
      <c r="AG357" s="506"/>
      <c r="AH357" s="506"/>
      <c r="AI357" s="502"/>
    </row>
    <row r="358" spans="1:35" s="500" customFormat="1" ht="31.5" x14ac:dyDescent="0.25">
      <c r="A358" s="491"/>
      <c r="B358" s="493"/>
      <c r="C358" s="494"/>
      <c r="D358" s="494"/>
      <c r="E358" s="495"/>
      <c r="F358" s="104"/>
      <c r="G358" s="496"/>
      <c r="H358" s="105"/>
      <c r="I358" s="49"/>
      <c r="J358" s="49"/>
      <c r="K358" s="49"/>
      <c r="L358" s="492"/>
      <c r="M358" s="49"/>
      <c r="N358" s="492"/>
      <c r="O358" s="82"/>
      <c r="P358" s="496"/>
      <c r="Q358" s="497"/>
      <c r="R358" s="498"/>
      <c r="S358" s="498"/>
      <c r="T358" s="498"/>
      <c r="U358" s="498"/>
      <c r="V358" s="498"/>
      <c r="W358" s="105"/>
      <c r="X358" s="523" t="s">
        <v>60</v>
      </c>
      <c r="Y358" s="511" t="s">
        <v>63</v>
      </c>
      <c r="Z358" s="15" t="s">
        <v>95</v>
      </c>
      <c r="AA358" s="515" t="s">
        <v>5</v>
      </c>
      <c r="AB358" s="409" t="s">
        <v>698</v>
      </c>
      <c r="AC358" s="516">
        <v>600</v>
      </c>
      <c r="AD358" s="670">
        <f t="shared" si="107"/>
        <v>134</v>
      </c>
      <c r="AE358" s="634">
        <f t="shared" si="107"/>
        <v>134</v>
      </c>
      <c r="AF358" s="646">
        <f t="shared" si="107"/>
        <v>134</v>
      </c>
      <c r="AG358" s="506"/>
      <c r="AH358" s="506"/>
      <c r="AI358" s="502"/>
    </row>
    <row r="359" spans="1:35" s="500" customFormat="1" x14ac:dyDescent="0.25">
      <c r="A359" s="491"/>
      <c r="B359" s="493"/>
      <c r="C359" s="494"/>
      <c r="D359" s="494"/>
      <c r="E359" s="495"/>
      <c r="F359" s="104"/>
      <c r="G359" s="496"/>
      <c r="H359" s="105"/>
      <c r="I359" s="49"/>
      <c r="J359" s="49"/>
      <c r="K359" s="49"/>
      <c r="L359" s="492"/>
      <c r="M359" s="49"/>
      <c r="N359" s="492"/>
      <c r="O359" s="82"/>
      <c r="P359" s="496"/>
      <c r="Q359" s="497"/>
      <c r="R359" s="498"/>
      <c r="S359" s="498"/>
      <c r="T359" s="498"/>
      <c r="U359" s="498"/>
      <c r="V359" s="498"/>
      <c r="W359" s="105"/>
      <c r="X359" s="523" t="s">
        <v>61</v>
      </c>
      <c r="Y359" s="511" t="s">
        <v>63</v>
      </c>
      <c r="Z359" s="15" t="s">
        <v>95</v>
      </c>
      <c r="AA359" s="515" t="s">
        <v>5</v>
      </c>
      <c r="AB359" s="409" t="s">
        <v>698</v>
      </c>
      <c r="AC359" s="516">
        <v>610</v>
      </c>
      <c r="AD359" s="670">
        <v>134</v>
      </c>
      <c r="AE359" s="634">
        <v>134</v>
      </c>
      <c r="AF359" s="646">
        <v>134</v>
      </c>
      <c r="AG359" s="506"/>
      <c r="AH359" s="506"/>
      <c r="AI359" s="502"/>
    </row>
    <row r="360" spans="1:35" s="77" customFormat="1" x14ac:dyDescent="0.25">
      <c r="A360" s="68"/>
      <c r="B360" s="69"/>
      <c r="C360" s="71"/>
      <c r="D360" s="72"/>
      <c r="E360" s="72"/>
      <c r="F360" s="72"/>
      <c r="G360" s="73"/>
      <c r="H360" s="73"/>
      <c r="I360" s="73"/>
      <c r="J360" s="73"/>
      <c r="K360" s="73"/>
      <c r="L360" s="73"/>
      <c r="M360" s="73"/>
      <c r="N360" s="73"/>
      <c r="O360" s="74"/>
      <c r="P360" s="73"/>
      <c r="Q360" s="75"/>
      <c r="R360" s="95"/>
      <c r="S360" s="95"/>
      <c r="T360" s="95"/>
      <c r="U360" s="95"/>
      <c r="V360" s="95"/>
      <c r="W360" s="95"/>
      <c r="X360" s="650" t="s">
        <v>4</v>
      </c>
      <c r="Y360" s="182" t="s">
        <v>63</v>
      </c>
      <c r="Z360" s="471" t="s">
        <v>8</v>
      </c>
      <c r="AA360" s="540"/>
      <c r="AB360" s="539"/>
      <c r="AC360" s="476"/>
      <c r="AD360" s="668">
        <f>AD361+AD379+AD399</f>
        <v>85421</v>
      </c>
      <c r="AE360" s="632">
        <f>AE361+AE379+AE399</f>
        <v>47803.4</v>
      </c>
      <c r="AF360" s="642">
        <f>AF361+AF379+AF399</f>
        <v>47911.9</v>
      </c>
      <c r="AG360" s="205"/>
      <c r="AH360" s="205"/>
      <c r="AI360" s="147"/>
    </row>
    <row r="361" spans="1:35" s="77" customFormat="1" x14ac:dyDescent="0.25">
      <c r="A361" s="68"/>
      <c r="B361" s="69"/>
      <c r="C361" s="71"/>
      <c r="D361" s="72"/>
      <c r="E361" s="72"/>
      <c r="F361" s="72"/>
      <c r="G361" s="73"/>
      <c r="H361" s="73"/>
      <c r="I361" s="73"/>
      <c r="J361" s="73"/>
      <c r="K361" s="73"/>
      <c r="L361" s="73"/>
      <c r="M361" s="73"/>
      <c r="N361" s="73"/>
      <c r="O361" s="74"/>
      <c r="P361" s="73"/>
      <c r="Q361" s="75"/>
      <c r="R361" s="95"/>
      <c r="S361" s="95"/>
      <c r="T361" s="95"/>
      <c r="U361" s="95"/>
      <c r="V361" s="95"/>
      <c r="W361" s="95"/>
      <c r="X361" s="451" t="s">
        <v>134</v>
      </c>
      <c r="Y361" s="452" t="s">
        <v>63</v>
      </c>
      <c r="Z361" s="477" t="s">
        <v>8</v>
      </c>
      <c r="AA361" s="453" t="s">
        <v>7</v>
      </c>
      <c r="AB361" s="539"/>
      <c r="AC361" s="476"/>
      <c r="AD361" s="669">
        <f t="shared" ref="AD361:AF363" si="108">AD362</f>
        <v>80893.600000000006</v>
      </c>
      <c r="AE361" s="633">
        <f t="shared" si="108"/>
        <v>43856</v>
      </c>
      <c r="AF361" s="643">
        <f t="shared" si="108"/>
        <v>43856</v>
      </c>
      <c r="AG361" s="180"/>
      <c r="AH361" s="180"/>
      <c r="AI361" s="147"/>
    </row>
    <row r="362" spans="1:35" s="77" customForma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459" t="s">
        <v>572</v>
      </c>
      <c r="Y362" s="452" t="s">
        <v>63</v>
      </c>
      <c r="Z362" s="477" t="s">
        <v>8</v>
      </c>
      <c r="AA362" s="453" t="s">
        <v>7</v>
      </c>
      <c r="AB362" s="542" t="s">
        <v>114</v>
      </c>
      <c r="AC362" s="476"/>
      <c r="AD362" s="669">
        <f>AD363</f>
        <v>80893.600000000006</v>
      </c>
      <c r="AE362" s="633">
        <f t="shared" si="108"/>
        <v>43856</v>
      </c>
      <c r="AF362" s="643">
        <f t="shared" si="108"/>
        <v>43856</v>
      </c>
      <c r="AG362" s="180"/>
      <c r="AH362" s="180"/>
      <c r="AI362" s="147"/>
    </row>
    <row r="363" spans="1:35" s="77" customFormat="1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451" t="s">
        <v>499</v>
      </c>
      <c r="Y363" s="452" t="s">
        <v>63</v>
      </c>
      <c r="Z363" s="477" t="s">
        <v>8</v>
      </c>
      <c r="AA363" s="453" t="s">
        <v>7</v>
      </c>
      <c r="AB363" s="542" t="s">
        <v>380</v>
      </c>
      <c r="AC363" s="482"/>
      <c r="AD363" s="671">
        <f>AD364+AD375+AD368</f>
        <v>80893.600000000006</v>
      </c>
      <c r="AE363" s="635">
        <f t="shared" si="108"/>
        <v>43856</v>
      </c>
      <c r="AF363" s="644">
        <f t="shared" si="108"/>
        <v>43856</v>
      </c>
      <c r="AG363" s="180"/>
      <c r="AH363" s="180"/>
      <c r="AI363" s="147"/>
    </row>
    <row r="364" spans="1:35" s="77" customFormat="1" ht="32.25" customHeight="1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51" t="s">
        <v>422</v>
      </c>
      <c r="Y364" s="452" t="s">
        <v>63</v>
      </c>
      <c r="Z364" s="453" t="s">
        <v>8</v>
      </c>
      <c r="AA364" s="453" t="s">
        <v>7</v>
      </c>
      <c r="AB364" s="542" t="s">
        <v>381</v>
      </c>
      <c r="AC364" s="482"/>
      <c r="AD364" s="671">
        <f t="shared" ref="AD364:AF366" si="109">AD365</f>
        <v>72348.100000000006</v>
      </c>
      <c r="AE364" s="635">
        <f t="shared" si="109"/>
        <v>43856</v>
      </c>
      <c r="AF364" s="644">
        <f t="shared" si="109"/>
        <v>43856</v>
      </c>
      <c r="AG364" s="180"/>
      <c r="AH364" s="180"/>
      <c r="AI364" s="147"/>
    </row>
    <row r="365" spans="1:35" s="77" customFormat="1" ht="31.5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651" t="s">
        <v>379</v>
      </c>
      <c r="Y365" s="452" t="s">
        <v>63</v>
      </c>
      <c r="Z365" s="453" t="s">
        <v>8</v>
      </c>
      <c r="AA365" s="453" t="s">
        <v>7</v>
      </c>
      <c r="AB365" s="542" t="s">
        <v>382</v>
      </c>
      <c r="AC365" s="482"/>
      <c r="AD365" s="671">
        <f t="shared" si="109"/>
        <v>72348.100000000006</v>
      </c>
      <c r="AE365" s="635">
        <f t="shared" si="109"/>
        <v>43856</v>
      </c>
      <c r="AF365" s="644">
        <f t="shared" si="109"/>
        <v>43856</v>
      </c>
      <c r="AG365" s="180"/>
      <c r="AH365" s="180"/>
      <c r="AI365" s="147"/>
    </row>
    <row r="366" spans="1:35" s="77" customFormat="1" ht="31.5" x14ac:dyDescent="0.25">
      <c r="A366" s="68"/>
      <c r="B366" s="69"/>
      <c r="C366" s="71"/>
      <c r="D366" s="72"/>
      <c r="E366" s="72"/>
      <c r="F366" s="72"/>
      <c r="G366" s="73"/>
      <c r="H366" s="73"/>
      <c r="I366" s="73"/>
      <c r="J366" s="73"/>
      <c r="K366" s="73"/>
      <c r="L366" s="73"/>
      <c r="M366" s="73"/>
      <c r="N366" s="73"/>
      <c r="O366" s="74"/>
      <c r="P366" s="73"/>
      <c r="Q366" s="75"/>
      <c r="R366" s="95"/>
      <c r="S366" s="95"/>
      <c r="T366" s="95"/>
      <c r="U366" s="95"/>
      <c r="V366" s="95"/>
      <c r="W366" s="95"/>
      <c r="X366" s="451" t="s">
        <v>60</v>
      </c>
      <c r="Y366" s="452" t="s">
        <v>63</v>
      </c>
      <c r="Z366" s="453" t="s">
        <v>8</v>
      </c>
      <c r="AA366" s="453" t="s">
        <v>7</v>
      </c>
      <c r="AB366" s="542" t="s">
        <v>382</v>
      </c>
      <c r="AC366" s="482">
        <v>600</v>
      </c>
      <c r="AD366" s="671">
        <f t="shared" si="109"/>
        <v>72348.100000000006</v>
      </c>
      <c r="AE366" s="635">
        <f t="shared" si="109"/>
        <v>43856</v>
      </c>
      <c r="AF366" s="644">
        <f t="shared" si="109"/>
        <v>43856</v>
      </c>
      <c r="AG366" s="180"/>
      <c r="AH366" s="180"/>
      <c r="AI366" s="147"/>
    </row>
    <row r="367" spans="1:35" s="77" customFormat="1" x14ac:dyDescent="0.25">
      <c r="A367" s="68"/>
      <c r="B367" s="69"/>
      <c r="C367" s="71"/>
      <c r="D367" s="72"/>
      <c r="E367" s="72"/>
      <c r="F367" s="72"/>
      <c r="G367" s="73"/>
      <c r="H367" s="73"/>
      <c r="I367" s="73"/>
      <c r="J367" s="73"/>
      <c r="K367" s="73"/>
      <c r="L367" s="73"/>
      <c r="M367" s="73"/>
      <c r="N367" s="73"/>
      <c r="O367" s="74"/>
      <c r="P367" s="73"/>
      <c r="Q367" s="75"/>
      <c r="R367" s="95"/>
      <c r="S367" s="95"/>
      <c r="T367" s="95"/>
      <c r="U367" s="95"/>
      <c r="V367" s="95"/>
      <c r="W367" s="95"/>
      <c r="X367" s="451" t="s">
        <v>61</v>
      </c>
      <c r="Y367" s="452" t="s">
        <v>63</v>
      </c>
      <c r="Z367" s="453" t="s">
        <v>8</v>
      </c>
      <c r="AA367" s="453" t="s">
        <v>7</v>
      </c>
      <c r="AB367" s="542" t="s">
        <v>382</v>
      </c>
      <c r="AC367" s="482">
        <v>610</v>
      </c>
      <c r="AD367" s="669">
        <f>69048.1+3300</f>
        <v>72348.100000000006</v>
      </c>
      <c r="AE367" s="633">
        <v>43856</v>
      </c>
      <c r="AF367" s="643">
        <v>43856</v>
      </c>
      <c r="AG367" s="180"/>
      <c r="AH367" s="180"/>
      <c r="AI367" s="147"/>
    </row>
    <row r="368" spans="1:35" s="77" customFormat="1" ht="31.5" x14ac:dyDescent="0.25">
      <c r="A368" s="68"/>
      <c r="B368" s="69"/>
      <c r="C368" s="71"/>
      <c r="D368" s="72"/>
      <c r="E368" s="72"/>
      <c r="F368" s="72"/>
      <c r="G368" s="492"/>
      <c r="H368" s="492"/>
      <c r="I368" s="492"/>
      <c r="J368" s="492"/>
      <c r="K368" s="492"/>
      <c r="L368" s="492"/>
      <c r="M368" s="492"/>
      <c r="N368" s="492"/>
      <c r="O368" s="74"/>
      <c r="P368" s="492"/>
      <c r="Q368" s="75"/>
      <c r="R368" s="95"/>
      <c r="S368" s="95"/>
      <c r="T368" s="95"/>
      <c r="U368" s="95"/>
      <c r="V368" s="95"/>
      <c r="W368" s="95"/>
      <c r="X368" s="451" t="s">
        <v>737</v>
      </c>
      <c r="Y368" s="452" t="s">
        <v>63</v>
      </c>
      <c r="Z368" s="453" t="s">
        <v>8</v>
      </c>
      <c r="AA368" s="453" t="s">
        <v>7</v>
      </c>
      <c r="AB368" s="542" t="s">
        <v>738</v>
      </c>
      <c r="AC368" s="482"/>
      <c r="AD368" s="669">
        <f>AD372+AD369</f>
        <v>2528.4</v>
      </c>
      <c r="AE368" s="669">
        <f t="shared" ref="AE368:AF368" si="110">AE372+AE369</f>
        <v>0</v>
      </c>
      <c r="AF368" s="669">
        <f t="shared" si="110"/>
        <v>0</v>
      </c>
      <c r="AG368" s="506"/>
      <c r="AH368" s="506"/>
      <c r="AI368" s="502"/>
    </row>
    <row r="369" spans="1:35" s="77" customFormat="1" ht="70.5" customHeight="1" x14ac:dyDescent="0.25">
      <c r="A369" s="68"/>
      <c r="B369" s="69"/>
      <c r="C369" s="71"/>
      <c r="D369" s="72"/>
      <c r="E369" s="72"/>
      <c r="F369" s="72"/>
      <c r="G369" s="492"/>
      <c r="H369" s="492"/>
      <c r="I369" s="492"/>
      <c r="J369" s="492"/>
      <c r="K369" s="492"/>
      <c r="L369" s="492"/>
      <c r="M369" s="492"/>
      <c r="N369" s="492"/>
      <c r="O369" s="74"/>
      <c r="P369" s="492"/>
      <c r="Q369" s="75"/>
      <c r="R369" s="95"/>
      <c r="S369" s="95"/>
      <c r="T369" s="95"/>
      <c r="U369" s="95"/>
      <c r="V369" s="95"/>
      <c r="W369" s="95"/>
      <c r="X369" s="451" t="s">
        <v>859</v>
      </c>
      <c r="Y369" s="452" t="s">
        <v>63</v>
      </c>
      <c r="Z369" s="453" t="s">
        <v>8</v>
      </c>
      <c r="AA369" s="453" t="s">
        <v>7</v>
      </c>
      <c r="AB369" s="542" t="s">
        <v>860</v>
      </c>
      <c r="AC369" s="482"/>
      <c r="AD369" s="669">
        <f>AD370</f>
        <v>28.6</v>
      </c>
      <c r="AE369" s="669">
        <f t="shared" ref="AE369:AF369" si="111">AE370</f>
        <v>0</v>
      </c>
      <c r="AF369" s="669">
        <f t="shared" si="111"/>
        <v>0</v>
      </c>
      <c r="AG369" s="506"/>
      <c r="AH369" s="506"/>
      <c r="AI369" s="502"/>
    </row>
    <row r="370" spans="1:35" s="77" customFormat="1" ht="31.5" x14ac:dyDescent="0.25">
      <c r="A370" s="68"/>
      <c r="B370" s="69"/>
      <c r="C370" s="71"/>
      <c r="D370" s="72"/>
      <c r="E370" s="72"/>
      <c r="F370" s="72"/>
      <c r="G370" s="492"/>
      <c r="H370" s="492"/>
      <c r="I370" s="492"/>
      <c r="J370" s="492"/>
      <c r="K370" s="492"/>
      <c r="L370" s="492"/>
      <c r="M370" s="492"/>
      <c r="N370" s="492"/>
      <c r="O370" s="74"/>
      <c r="P370" s="492"/>
      <c r="Q370" s="75"/>
      <c r="R370" s="95"/>
      <c r="S370" s="95"/>
      <c r="T370" s="95"/>
      <c r="U370" s="95"/>
      <c r="V370" s="95"/>
      <c r="W370" s="95"/>
      <c r="X370" s="451" t="s">
        <v>60</v>
      </c>
      <c r="Y370" s="452" t="s">
        <v>63</v>
      </c>
      <c r="Z370" s="453" t="s">
        <v>8</v>
      </c>
      <c r="AA370" s="453" t="s">
        <v>7</v>
      </c>
      <c r="AB370" s="542" t="s">
        <v>860</v>
      </c>
      <c r="AC370" s="482">
        <v>600</v>
      </c>
      <c r="AD370" s="669">
        <f>AD371</f>
        <v>28.6</v>
      </c>
      <c r="AE370" s="669">
        <f t="shared" ref="AE370:AF370" si="112">AE371</f>
        <v>0</v>
      </c>
      <c r="AF370" s="669">
        <f t="shared" si="112"/>
        <v>0</v>
      </c>
      <c r="AG370" s="506"/>
      <c r="AH370" s="506"/>
      <c r="AI370" s="502"/>
    </row>
    <row r="371" spans="1:35" s="77" customFormat="1" x14ac:dyDescent="0.25">
      <c r="A371" s="68"/>
      <c r="B371" s="69"/>
      <c r="C371" s="71"/>
      <c r="D371" s="72"/>
      <c r="E371" s="72"/>
      <c r="F371" s="72"/>
      <c r="G371" s="492"/>
      <c r="H371" s="492"/>
      <c r="I371" s="492"/>
      <c r="J371" s="492"/>
      <c r="K371" s="492"/>
      <c r="L371" s="492"/>
      <c r="M371" s="492"/>
      <c r="N371" s="492"/>
      <c r="O371" s="74"/>
      <c r="P371" s="492"/>
      <c r="Q371" s="75"/>
      <c r="R371" s="95"/>
      <c r="S371" s="95"/>
      <c r="T371" s="95"/>
      <c r="U371" s="95"/>
      <c r="V371" s="95"/>
      <c r="W371" s="95"/>
      <c r="X371" s="451" t="s">
        <v>61</v>
      </c>
      <c r="Y371" s="452" t="s">
        <v>63</v>
      </c>
      <c r="Z371" s="453" t="s">
        <v>8</v>
      </c>
      <c r="AA371" s="453" t="s">
        <v>7</v>
      </c>
      <c r="AB371" s="542" t="s">
        <v>860</v>
      </c>
      <c r="AC371" s="482">
        <v>610</v>
      </c>
      <c r="AD371" s="669">
        <v>28.6</v>
      </c>
      <c r="AE371" s="633">
        <v>0</v>
      </c>
      <c r="AF371" s="643">
        <v>0</v>
      </c>
      <c r="AG371" s="506"/>
      <c r="AH371" s="506"/>
      <c r="AI371" s="502"/>
    </row>
    <row r="372" spans="1:35" s="77" customFormat="1" ht="41.25" customHeight="1" x14ac:dyDescent="0.25">
      <c r="A372" s="68"/>
      <c r="B372" s="69"/>
      <c r="C372" s="71"/>
      <c r="D372" s="72"/>
      <c r="E372" s="72"/>
      <c r="F372" s="72"/>
      <c r="G372" s="492"/>
      <c r="H372" s="492"/>
      <c r="I372" s="492"/>
      <c r="J372" s="492"/>
      <c r="K372" s="492"/>
      <c r="L372" s="492"/>
      <c r="M372" s="492"/>
      <c r="N372" s="492"/>
      <c r="O372" s="74"/>
      <c r="P372" s="492"/>
      <c r="Q372" s="75"/>
      <c r="R372" s="95"/>
      <c r="S372" s="95"/>
      <c r="T372" s="95"/>
      <c r="U372" s="95"/>
      <c r="V372" s="95"/>
      <c r="W372" s="95"/>
      <c r="X372" s="451" t="s">
        <v>769</v>
      </c>
      <c r="Y372" s="452" t="s">
        <v>63</v>
      </c>
      <c r="Z372" s="453" t="s">
        <v>8</v>
      </c>
      <c r="AA372" s="453" t="s">
        <v>7</v>
      </c>
      <c r="AB372" s="542" t="s">
        <v>739</v>
      </c>
      <c r="AC372" s="482"/>
      <c r="AD372" s="669">
        <f>AD373</f>
        <v>2499.8000000000002</v>
      </c>
      <c r="AE372" s="633">
        <f t="shared" ref="AE372:AF373" si="113">AE373</f>
        <v>0</v>
      </c>
      <c r="AF372" s="643">
        <f t="shared" si="113"/>
        <v>0</v>
      </c>
      <c r="AG372" s="506"/>
      <c r="AH372" s="506"/>
      <c r="AI372" s="502"/>
    </row>
    <row r="373" spans="1:35" s="77" customFormat="1" ht="31.5" x14ac:dyDescent="0.25">
      <c r="A373" s="68"/>
      <c r="B373" s="69"/>
      <c r="C373" s="71"/>
      <c r="D373" s="72"/>
      <c r="E373" s="72"/>
      <c r="F373" s="72"/>
      <c r="G373" s="492"/>
      <c r="H373" s="492"/>
      <c r="I373" s="492"/>
      <c r="J373" s="492"/>
      <c r="K373" s="492"/>
      <c r="L373" s="492"/>
      <c r="M373" s="492"/>
      <c r="N373" s="492"/>
      <c r="O373" s="74"/>
      <c r="P373" s="492"/>
      <c r="Q373" s="75"/>
      <c r="R373" s="95"/>
      <c r="S373" s="95"/>
      <c r="T373" s="95"/>
      <c r="U373" s="95"/>
      <c r="V373" s="95"/>
      <c r="W373" s="95"/>
      <c r="X373" s="451" t="s">
        <v>60</v>
      </c>
      <c r="Y373" s="452" t="s">
        <v>63</v>
      </c>
      <c r="Z373" s="453" t="s">
        <v>8</v>
      </c>
      <c r="AA373" s="453" t="s">
        <v>7</v>
      </c>
      <c r="AB373" s="542" t="s">
        <v>739</v>
      </c>
      <c r="AC373" s="482">
        <v>600</v>
      </c>
      <c r="AD373" s="669">
        <f>AD374</f>
        <v>2499.8000000000002</v>
      </c>
      <c r="AE373" s="633">
        <f t="shared" si="113"/>
        <v>0</v>
      </c>
      <c r="AF373" s="643">
        <f t="shared" si="113"/>
        <v>0</v>
      </c>
      <c r="AG373" s="506"/>
      <c r="AH373" s="506"/>
      <c r="AI373" s="502"/>
    </row>
    <row r="374" spans="1:35" s="77" customFormat="1" ht="19.5" customHeight="1" x14ac:dyDescent="0.25">
      <c r="A374" s="68"/>
      <c r="B374" s="69"/>
      <c r="C374" s="71"/>
      <c r="D374" s="72"/>
      <c r="E374" s="72"/>
      <c r="F374" s="72"/>
      <c r="G374" s="492"/>
      <c r="H374" s="492"/>
      <c r="I374" s="492"/>
      <c r="J374" s="492"/>
      <c r="K374" s="492"/>
      <c r="L374" s="492"/>
      <c r="M374" s="492"/>
      <c r="N374" s="492"/>
      <c r="O374" s="74"/>
      <c r="P374" s="492"/>
      <c r="Q374" s="75"/>
      <c r="R374" s="95"/>
      <c r="S374" s="95"/>
      <c r="T374" s="95"/>
      <c r="U374" s="95"/>
      <c r="V374" s="95"/>
      <c r="W374" s="95"/>
      <c r="X374" s="451" t="s">
        <v>61</v>
      </c>
      <c r="Y374" s="452" t="s">
        <v>63</v>
      </c>
      <c r="Z374" s="453" t="s">
        <v>8</v>
      </c>
      <c r="AA374" s="453" t="s">
        <v>7</v>
      </c>
      <c r="AB374" s="542" t="s">
        <v>739</v>
      </c>
      <c r="AC374" s="482">
        <v>610</v>
      </c>
      <c r="AD374" s="669">
        <v>2499.8000000000002</v>
      </c>
      <c r="AE374" s="633">
        <v>0</v>
      </c>
      <c r="AF374" s="643">
        <v>0</v>
      </c>
      <c r="AG374" s="506"/>
      <c r="AH374" s="506"/>
      <c r="AI374" s="502"/>
    </row>
    <row r="375" spans="1:35" s="77" customFormat="1" x14ac:dyDescent="0.25">
      <c r="A375" s="68"/>
      <c r="B375" s="69"/>
      <c r="C375" s="71"/>
      <c r="D375" s="72"/>
      <c r="E375" s="72"/>
      <c r="F375" s="72"/>
      <c r="G375" s="492"/>
      <c r="H375" s="492"/>
      <c r="I375" s="492"/>
      <c r="J375" s="492"/>
      <c r="K375" s="492"/>
      <c r="L375" s="492"/>
      <c r="M375" s="492"/>
      <c r="N375" s="492"/>
      <c r="O375" s="74"/>
      <c r="P375" s="492"/>
      <c r="Q375" s="75"/>
      <c r="R375" s="95"/>
      <c r="S375" s="95"/>
      <c r="T375" s="95"/>
      <c r="U375" s="95"/>
      <c r="V375" s="95"/>
      <c r="W375" s="95"/>
      <c r="X375" s="451" t="s">
        <v>733</v>
      </c>
      <c r="Y375" s="452" t="s">
        <v>63</v>
      </c>
      <c r="Z375" s="453" t="s">
        <v>8</v>
      </c>
      <c r="AA375" s="453" t="s">
        <v>7</v>
      </c>
      <c r="AB375" s="542" t="s">
        <v>736</v>
      </c>
      <c r="AC375" s="482"/>
      <c r="AD375" s="669">
        <f>AD376</f>
        <v>6017.1</v>
      </c>
      <c r="AE375" s="633">
        <f t="shared" ref="AE375:AF377" si="114">AE376</f>
        <v>0</v>
      </c>
      <c r="AF375" s="643">
        <f t="shared" si="114"/>
        <v>0</v>
      </c>
      <c r="AG375" s="506"/>
      <c r="AH375" s="506"/>
      <c r="AI375" s="502"/>
    </row>
    <row r="376" spans="1:35" s="77" customFormat="1" ht="53.25" customHeight="1" x14ac:dyDescent="0.25">
      <c r="A376" s="68"/>
      <c r="B376" s="69"/>
      <c r="C376" s="71"/>
      <c r="D376" s="72"/>
      <c r="E376" s="72"/>
      <c r="F376" s="72"/>
      <c r="G376" s="492"/>
      <c r="H376" s="492"/>
      <c r="I376" s="492"/>
      <c r="J376" s="492"/>
      <c r="K376" s="492"/>
      <c r="L376" s="492"/>
      <c r="M376" s="492"/>
      <c r="N376" s="492"/>
      <c r="O376" s="74"/>
      <c r="P376" s="492"/>
      <c r="Q376" s="75"/>
      <c r="R376" s="95"/>
      <c r="S376" s="95"/>
      <c r="T376" s="95"/>
      <c r="U376" s="95"/>
      <c r="V376" s="95"/>
      <c r="W376" s="95"/>
      <c r="X376" s="451" t="s">
        <v>734</v>
      </c>
      <c r="Y376" s="452" t="s">
        <v>63</v>
      </c>
      <c r="Z376" s="453" t="s">
        <v>8</v>
      </c>
      <c r="AA376" s="453" t="s">
        <v>7</v>
      </c>
      <c r="AB376" s="542" t="s">
        <v>735</v>
      </c>
      <c r="AC376" s="482"/>
      <c r="AD376" s="669">
        <f>AD377</f>
        <v>6017.1</v>
      </c>
      <c r="AE376" s="633">
        <f t="shared" si="114"/>
        <v>0</v>
      </c>
      <c r="AF376" s="643">
        <f t="shared" si="114"/>
        <v>0</v>
      </c>
      <c r="AG376" s="506"/>
      <c r="AH376" s="506"/>
      <c r="AI376" s="502"/>
    </row>
    <row r="377" spans="1:35" s="77" customFormat="1" ht="31.5" x14ac:dyDescent="0.25">
      <c r="A377" s="68"/>
      <c r="B377" s="69"/>
      <c r="C377" s="71"/>
      <c r="D377" s="72"/>
      <c r="E377" s="72"/>
      <c r="F377" s="72"/>
      <c r="G377" s="492"/>
      <c r="H377" s="492"/>
      <c r="I377" s="492"/>
      <c r="J377" s="492"/>
      <c r="K377" s="492"/>
      <c r="L377" s="492"/>
      <c r="M377" s="492"/>
      <c r="N377" s="492"/>
      <c r="O377" s="74"/>
      <c r="P377" s="492"/>
      <c r="Q377" s="75"/>
      <c r="R377" s="95"/>
      <c r="S377" s="95"/>
      <c r="T377" s="95"/>
      <c r="U377" s="95"/>
      <c r="V377" s="95"/>
      <c r="W377" s="95"/>
      <c r="X377" s="451" t="s">
        <v>60</v>
      </c>
      <c r="Y377" s="452" t="s">
        <v>63</v>
      </c>
      <c r="Z377" s="453" t="s">
        <v>8</v>
      </c>
      <c r="AA377" s="453" t="s">
        <v>7</v>
      </c>
      <c r="AB377" s="542" t="s">
        <v>735</v>
      </c>
      <c r="AC377" s="482">
        <v>600</v>
      </c>
      <c r="AD377" s="669">
        <f>AD378</f>
        <v>6017.1</v>
      </c>
      <c r="AE377" s="633">
        <f t="shared" si="114"/>
        <v>0</v>
      </c>
      <c r="AF377" s="643">
        <f t="shared" si="114"/>
        <v>0</v>
      </c>
      <c r="AG377" s="506"/>
      <c r="AH377" s="506"/>
      <c r="AI377" s="502"/>
    </row>
    <row r="378" spans="1:35" s="77" customFormat="1" x14ac:dyDescent="0.25">
      <c r="A378" s="68"/>
      <c r="B378" s="69"/>
      <c r="C378" s="71"/>
      <c r="D378" s="72"/>
      <c r="E378" s="72"/>
      <c r="F378" s="72"/>
      <c r="G378" s="492"/>
      <c r="H378" s="492"/>
      <c r="I378" s="492"/>
      <c r="J378" s="492"/>
      <c r="K378" s="492"/>
      <c r="L378" s="492"/>
      <c r="M378" s="492"/>
      <c r="N378" s="492"/>
      <c r="O378" s="74"/>
      <c r="P378" s="492"/>
      <c r="Q378" s="75"/>
      <c r="R378" s="95"/>
      <c r="S378" s="95"/>
      <c r="T378" s="95"/>
      <c r="U378" s="95"/>
      <c r="V378" s="95"/>
      <c r="W378" s="95"/>
      <c r="X378" s="451" t="s">
        <v>61</v>
      </c>
      <c r="Y378" s="452" t="s">
        <v>63</v>
      </c>
      <c r="Z378" s="453" t="s">
        <v>8</v>
      </c>
      <c r="AA378" s="453" t="s">
        <v>7</v>
      </c>
      <c r="AB378" s="542" t="s">
        <v>735</v>
      </c>
      <c r="AC378" s="482">
        <v>610</v>
      </c>
      <c r="AD378" s="669">
        <f>4940+1077.1</f>
        <v>6017.1</v>
      </c>
      <c r="AE378" s="633">
        <v>0</v>
      </c>
      <c r="AF378" s="643">
        <v>0</v>
      </c>
      <c r="AG378" s="506"/>
      <c r="AH378" s="506"/>
      <c r="AI378" s="502"/>
    </row>
    <row r="379" spans="1:3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82"/>
      <c r="P379" s="81"/>
      <c r="Q379" s="83"/>
      <c r="R379" s="87"/>
      <c r="S379" s="87"/>
      <c r="T379" s="87"/>
      <c r="U379" s="87"/>
      <c r="V379" s="87"/>
      <c r="W379" s="87"/>
      <c r="X379" s="451" t="s">
        <v>135</v>
      </c>
      <c r="Y379" s="452" t="s">
        <v>63</v>
      </c>
      <c r="Z379" s="453" t="s">
        <v>8</v>
      </c>
      <c r="AA379" s="453" t="s">
        <v>8</v>
      </c>
      <c r="AB379" s="541"/>
      <c r="AC379" s="482"/>
      <c r="AD379" s="669">
        <f>AD380+AD386</f>
        <v>1767.3999999999999</v>
      </c>
      <c r="AE379" s="633">
        <f>AE380+AE386</f>
        <v>907.40000000000009</v>
      </c>
      <c r="AF379" s="643">
        <f>AF380+AF386</f>
        <v>995.90000000000009</v>
      </c>
      <c r="AG379" s="180"/>
      <c r="AH379" s="180"/>
      <c r="AI379" s="147"/>
    </row>
    <row r="380" spans="1:35" ht="31.5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82"/>
      <c r="P380" s="81"/>
      <c r="Q380" s="83"/>
      <c r="R380" s="87"/>
      <c r="S380" s="87"/>
      <c r="T380" s="87"/>
      <c r="U380" s="87"/>
      <c r="V380" s="87"/>
      <c r="W380" s="87"/>
      <c r="X380" s="457" t="s">
        <v>161</v>
      </c>
      <c r="Y380" s="452" t="s">
        <v>63</v>
      </c>
      <c r="Z380" s="453" t="s">
        <v>8</v>
      </c>
      <c r="AA380" s="453" t="s">
        <v>8</v>
      </c>
      <c r="AB380" s="541" t="s">
        <v>102</v>
      </c>
      <c r="AC380" s="482"/>
      <c r="AD380" s="669">
        <f t="shared" ref="AD380:AF381" si="115">AD381</f>
        <v>286.8</v>
      </c>
      <c r="AE380" s="633">
        <f t="shared" si="115"/>
        <v>295.2</v>
      </c>
      <c r="AF380" s="643">
        <f t="shared" si="115"/>
        <v>295.2</v>
      </c>
      <c r="AG380" s="180"/>
      <c r="AH380" s="180"/>
      <c r="AI380" s="147"/>
    </row>
    <row r="381" spans="1:3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57" t="s">
        <v>162</v>
      </c>
      <c r="Y381" s="452" t="s">
        <v>63</v>
      </c>
      <c r="Z381" s="453" t="s">
        <v>8</v>
      </c>
      <c r="AA381" s="453" t="s">
        <v>8</v>
      </c>
      <c r="AB381" s="541" t="s">
        <v>106</v>
      </c>
      <c r="AC381" s="482"/>
      <c r="AD381" s="669">
        <f t="shared" si="115"/>
        <v>286.8</v>
      </c>
      <c r="AE381" s="633">
        <f t="shared" si="115"/>
        <v>295.2</v>
      </c>
      <c r="AF381" s="643">
        <f t="shared" si="115"/>
        <v>295.2</v>
      </c>
      <c r="AG381" s="180"/>
      <c r="AH381" s="180"/>
      <c r="AI381" s="147"/>
    </row>
    <row r="382" spans="1:35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660" t="s">
        <v>526</v>
      </c>
      <c r="Y382" s="452" t="s">
        <v>63</v>
      </c>
      <c r="Z382" s="453" t="s">
        <v>8</v>
      </c>
      <c r="AA382" s="453" t="s">
        <v>8</v>
      </c>
      <c r="AB382" s="542" t="s">
        <v>166</v>
      </c>
      <c r="AC382" s="482"/>
      <c r="AD382" s="669">
        <f t="shared" ref="AD382:AF383" si="116">AD383</f>
        <v>286.8</v>
      </c>
      <c r="AE382" s="633">
        <f t="shared" si="116"/>
        <v>295.2</v>
      </c>
      <c r="AF382" s="643">
        <f t="shared" si="116"/>
        <v>295.2</v>
      </c>
      <c r="AG382" s="180"/>
      <c r="AH382" s="180"/>
      <c r="AI382" s="147"/>
    </row>
    <row r="383" spans="1:35" ht="31.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457" t="s">
        <v>597</v>
      </c>
      <c r="Y383" s="452" t="s">
        <v>63</v>
      </c>
      <c r="Z383" s="453" t="s">
        <v>8</v>
      </c>
      <c r="AA383" s="453" t="s">
        <v>8</v>
      </c>
      <c r="AB383" s="542" t="s">
        <v>598</v>
      </c>
      <c r="AC383" s="482"/>
      <c r="AD383" s="669">
        <f t="shared" si="116"/>
        <v>286.8</v>
      </c>
      <c r="AE383" s="633">
        <f t="shared" si="116"/>
        <v>295.2</v>
      </c>
      <c r="AF383" s="643">
        <f t="shared" si="116"/>
        <v>295.2</v>
      </c>
      <c r="AG383" s="180"/>
      <c r="AH383" s="180"/>
      <c r="AI383" s="147"/>
    </row>
    <row r="384" spans="1:3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451" t="s">
        <v>120</v>
      </c>
      <c r="Y384" s="452" t="s">
        <v>63</v>
      </c>
      <c r="Z384" s="453" t="s">
        <v>8</v>
      </c>
      <c r="AA384" s="453" t="s">
        <v>8</v>
      </c>
      <c r="AB384" s="542" t="s">
        <v>598</v>
      </c>
      <c r="AC384" s="454">
        <v>200</v>
      </c>
      <c r="AD384" s="669">
        <f>AD385</f>
        <v>286.8</v>
      </c>
      <c r="AE384" s="633">
        <f>AE385</f>
        <v>295.2</v>
      </c>
      <c r="AF384" s="643">
        <f>AF385</f>
        <v>295.2</v>
      </c>
      <c r="AG384" s="180"/>
      <c r="AH384" s="180"/>
      <c r="AI384" s="147"/>
    </row>
    <row r="385" spans="1:35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451" t="s">
        <v>52</v>
      </c>
      <c r="Y385" s="452" t="s">
        <v>63</v>
      </c>
      <c r="Z385" s="453" t="s">
        <v>8</v>
      </c>
      <c r="AA385" s="453" t="s">
        <v>8</v>
      </c>
      <c r="AB385" s="542" t="s">
        <v>598</v>
      </c>
      <c r="AC385" s="454">
        <v>240</v>
      </c>
      <c r="AD385" s="669">
        <f>295.2-8.4</f>
        <v>286.8</v>
      </c>
      <c r="AE385" s="633">
        <v>295.2</v>
      </c>
      <c r="AF385" s="643">
        <v>295.2</v>
      </c>
      <c r="AG385" s="180"/>
      <c r="AH385" s="180"/>
      <c r="AI385" s="147"/>
    </row>
    <row r="386" spans="1:35" ht="31.5" x14ac:dyDescent="0.25">
      <c r="A386" s="90"/>
      <c r="B386" s="78"/>
      <c r="C386" s="78"/>
      <c r="D386" s="78"/>
      <c r="E386" s="80"/>
      <c r="F386" s="79"/>
      <c r="G386" s="81"/>
      <c r="H386" s="40"/>
      <c r="I386" s="91"/>
      <c r="J386" s="91"/>
      <c r="K386" s="91"/>
      <c r="L386" s="81"/>
      <c r="M386" s="91"/>
      <c r="N386" s="81"/>
      <c r="O386" s="82"/>
      <c r="P386" s="41"/>
      <c r="Q386" s="83"/>
      <c r="R386" s="87"/>
      <c r="S386" s="87"/>
      <c r="T386" s="87"/>
      <c r="U386" s="87"/>
      <c r="V386" s="87"/>
      <c r="X386" s="459" t="s">
        <v>298</v>
      </c>
      <c r="Y386" s="452" t="s">
        <v>63</v>
      </c>
      <c r="Z386" s="453" t="s">
        <v>8</v>
      </c>
      <c r="AA386" s="453" t="s">
        <v>8</v>
      </c>
      <c r="AB386" s="542" t="s">
        <v>132</v>
      </c>
      <c r="AC386" s="454"/>
      <c r="AD386" s="669">
        <f>AD387+AD394</f>
        <v>1480.6</v>
      </c>
      <c r="AE386" s="669">
        <f t="shared" ref="AE386:AF386" si="117">AE387+AE394</f>
        <v>612.20000000000005</v>
      </c>
      <c r="AF386" s="669">
        <f t="shared" si="117"/>
        <v>700.7</v>
      </c>
      <c r="AG386" s="180"/>
      <c r="AH386" s="180"/>
      <c r="AI386" s="147"/>
    </row>
    <row r="387" spans="1:35" x14ac:dyDescent="0.25">
      <c r="A387" s="90"/>
      <c r="B387" s="78"/>
      <c r="C387" s="78"/>
      <c r="D387" s="78"/>
      <c r="E387" s="80"/>
      <c r="F387" s="79"/>
      <c r="G387" s="81"/>
      <c r="H387" s="40"/>
      <c r="I387" s="91"/>
      <c r="J387" s="91"/>
      <c r="K387" s="91"/>
      <c r="L387" s="81"/>
      <c r="M387" s="91"/>
      <c r="N387" s="81"/>
      <c r="O387" s="82"/>
      <c r="P387" s="41"/>
      <c r="Q387" s="83"/>
      <c r="R387" s="87"/>
      <c r="S387" s="87"/>
      <c r="T387" s="87"/>
      <c r="U387" s="87"/>
      <c r="V387" s="87"/>
      <c r="X387" s="459" t="s">
        <v>307</v>
      </c>
      <c r="Y387" s="452" t="s">
        <v>63</v>
      </c>
      <c r="Z387" s="474" t="s">
        <v>8</v>
      </c>
      <c r="AA387" s="474" t="s">
        <v>8</v>
      </c>
      <c r="AB387" s="542" t="s">
        <v>308</v>
      </c>
      <c r="AC387" s="454"/>
      <c r="AD387" s="669">
        <f>AD388</f>
        <v>1330.6</v>
      </c>
      <c r="AE387" s="633">
        <f t="shared" ref="AD387:AF390" si="118">AE388</f>
        <v>612.20000000000005</v>
      </c>
      <c r="AF387" s="643">
        <f t="shared" si="118"/>
        <v>700.7</v>
      </c>
      <c r="AG387" s="180"/>
      <c r="AH387" s="180"/>
      <c r="AI387" s="147"/>
    </row>
    <row r="388" spans="1:3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657" t="s">
        <v>512</v>
      </c>
      <c r="Y388" s="452" t="s">
        <v>63</v>
      </c>
      <c r="Z388" s="474" t="s">
        <v>8</v>
      </c>
      <c r="AA388" s="474" t="s">
        <v>8</v>
      </c>
      <c r="AB388" s="542" t="s">
        <v>309</v>
      </c>
      <c r="AC388" s="454"/>
      <c r="AD388" s="669">
        <f t="shared" si="118"/>
        <v>1330.6</v>
      </c>
      <c r="AE388" s="633">
        <f t="shared" si="118"/>
        <v>612.20000000000005</v>
      </c>
      <c r="AF388" s="643">
        <f t="shared" si="118"/>
        <v>700.7</v>
      </c>
      <c r="AG388" s="180"/>
      <c r="AH388" s="180"/>
      <c r="AI388" s="147"/>
    </row>
    <row r="389" spans="1:35" ht="30.75" customHeight="1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654" t="s">
        <v>772</v>
      </c>
      <c r="Y389" s="452" t="s">
        <v>63</v>
      </c>
      <c r="Z389" s="453" t="s">
        <v>8</v>
      </c>
      <c r="AA389" s="453" t="s">
        <v>8</v>
      </c>
      <c r="AB389" s="542" t="s">
        <v>310</v>
      </c>
      <c r="AC389" s="454"/>
      <c r="AD389" s="669">
        <f>AD390+AD392</f>
        <v>1330.6</v>
      </c>
      <c r="AE389" s="633">
        <f t="shared" ref="AE389:AF389" si="119">AE390+AE392</f>
        <v>612.20000000000005</v>
      </c>
      <c r="AF389" s="643">
        <f t="shared" si="119"/>
        <v>700.7</v>
      </c>
      <c r="AG389" s="180"/>
      <c r="AH389" s="180"/>
      <c r="AI389" s="147"/>
    </row>
    <row r="390" spans="1:35" x14ac:dyDescent="0.25">
      <c r="A390" s="90"/>
      <c r="B390" s="78"/>
      <c r="C390" s="78"/>
      <c r="D390" s="78"/>
      <c r="E390" s="80"/>
      <c r="F390" s="79"/>
      <c r="G390" s="81"/>
      <c r="H390" s="40"/>
      <c r="I390" s="91"/>
      <c r="J390" s="91"/>
      <c r="K390" s="91"/>
      <c r="L390" s="81"/>
      <c r="M390" s="91"/>
      <c r="N390" s="81"/>
      <c r="O390" s="82"/>
      <c r="P390" s="41"/>
      <c r="Q390" s="83"/>
      <c r="R390" s="87"/>
      <c r="S390" s="87"/>
      <c r="T390" s="87"/>
      <c r="U390" s="87"/>
      <c r="V390" s="87"/>
      <c r="X390" s="451" t="s">
        <v>120</v>
      </c>
      <c r="Y390" s="452" t="s">
        <v>63</v>
      </c>
      <c r="Z390" s="474" t="s">
        <v>8</v>
      </c>
      <c r="AA390" s="474" t="s">
        <v>8</v>
      </c>
      <c r="AB390" s="542" t="s">
        <v>310</v>
      </c>
      <c r="AC390" s="454">
        <v>200</v>
      </c>
      <c r="AD390" s="669">
        <f t="shared" si="118"/>
        <v>597.29999999999984</v>
      </c>
      <c r="AE390" s="633">
        <f t="shared" si="118"/>
        <v>450.00000000000006</v>
      </c>
      <c r="AF390" s="643">
        <f t="shared" si="118"/>
        <v>450.00000000000006</v>
      </c>
      <c r="AG390" s="180"/>
      <c r="AH390" s="180"/>
      <c r="AI390" s="147"/>
    </row>
    <row r="391" spans="1:35" ht="31.5" x14ac:dyDescent="0.25">
      <c r="A391" s="90"/>
      <c r="B391" s="78"/>
      <c r="C391" s="78"/>
      <c r="D391" s="78"/>
      <c r="E391" s="80"/>
      <c r="F391" s="79"/>
      <c r="G391" s="81"/>
      <c r="H391" s="40"/>
      <c r="I391" s="91"/>
      <c r="J391" s="91"/>
      <c r="K391" s="91"/>
      <c r="L391" s="81"/>
      <c r="M391" s="91"/>
      <c r="N391" s="81"/>
      <c r="O391" s="82"/>
      <c r="P391" s="41"/>
      <c r="Q391" s="83"/>
      <c r="R391" s="87"/>
      <c r="S391" s="87"/>
      <c r="T391" s="87"/>
      <c r="U391" s="87"/>
      <c r="V391" s="87"/>
      <c r="X391" s="451" t="s">
        <v>52</v>
      </c>
      <c r="Y391" s="452" t="s">
        <v>63</v>
      </c>
      <c r="Z391" s="474" t="s">
        <v>8</v>
      </c>
      <c r="AA391" s="474" t="s">
        <v>8</v>
      </c>
      <c r="AB391" s="542" t="s">
        <v>310</v>
      </c>
      <c r="AC391" s="454">
        <v>240</v>
      </c>
      <c r="AD391" s="669">
        <f>1330.6-650.6-82.7</f>
        <v>597.29999999999984</v>
      </c>
      <c r="AE391" s="633">
        <f>612.2-162.2</f>
        <v>450.00000000000006</v>
      </c>
      <c r="AF391" s="643">
        <f>700.7-AF393</f>
        <v>450.00000000000006</v>
      </c>
      <c r="AG391" s="180"/>
      <c r="AH391" s="180"/>
      <c r="AI391" s="147"/>
    </row>
    <row r="392" spans="1:35" ht="31.5" x14ac:dyDescent="0.25">
      <c r="A392" s="90"/>
      <c r="B392" s="493"/>
      <c r="C392" s="493"/>
      <c r="D392" s="493"/>
      <c r="E392" s="495"/>
      <c r="F392" s="494"/>
      <c r="G392" s="496"/>
      <c r="H392" s="40"/>
      <c r="I392" s="91"/>
      <c r="J392" s="91"/>
      <c r="K392" s="91"/>
      <c r="L392" s="496"/>
      <c r="M392" s="91"/>
      <c r="N392" s="496"/>
      <c r="O392" s="82"/>
      <c r="P392" s="41"/>
      <c r="Q392" s="497"/>
      <c r="R392" s="498"/>
      <c r="S392" s="498"/>
      <c r="T392" s="498"/>
      <c r="U392" s="498"/>
      <c r="V392" s="498"/>
      <c r="X392" s="451" t="s">
        <v>60</v>
      </c>
      <c r="Y392" s="452" t="s">
        <v>63</v>
      </c>
      <c r="Z392" s="474" t="s">
        <v>8</v>
      </c>
      <c r="AA392" s="474" t="s">
        <v>8</v>
      </c>
      <c r="AB392" s="542" t="s">
        <v>310</v>
      </c>
      <c r="AC392" s="454">
        <v>600</v>
      </c>
      <c r="AD392" s="669">
        <f>AD393</f>
        <v>733.30000000000007</v>
      </c>
      <c r="AE392" s="633">
        <f t="shared" ref="AE392:AF392" si="120">AE393</f>
        <v>162.19999999999999</v>
      </c>
      <c r="AF392" s="643">
        <f t="shared" si="120"/>
        <v>250.7</v>
      </c>
      <c r="AG392" s="506"/>
      <c r="AH392" s="506"/>
      <c r="AI392" s="502"/>
    </row>
    <row r="393" spans="1:35" x14ac:dyDescent="0.25">
      <c r="A393" s="90"/>
      <c r="B393" s="493"/>
      <c r="C393" s="493"/>
      <c r="D393" s="493"/>
      <c r="E393" s="495"/>
      <c r="F393" s="494"/>
      <c r="G393" s="496"/>
      <c r="H393" s="40"/>
      <c r="I393" s="91"/>
      <c r="J393" s="91"/>
      <c r="K393" s="91"/>
      <c r="L393" s="496"/>
      <c r="M393" s="91"/>
      <c r="N393" s="496"/>
      <c r="O393" s="82"/>
      <c r="P393" s="41"/>
      <c r="Q393" s="497"/>
      <c r="R393" s="498"/>
      <c r="S393" s="498"/>
      <c r="T393" s="498"/>
      <c r="U393" s="498"/>
      <c r="V393" s="498"/>
      <c r="X393" s="451" t="s">
        <v>61</v>
      </c>
      <c r="Y393" s="452" t="s">
        <v>63</v>
      </c>
      <c r="Z393" s="474" t="s">
        <v>8</v>
      </c>
      <c r="AA393" s="474" t="s">
        <v>8</v>
      </c>
      <c r="AB393" s="542" t="s">
        <v>310</v>
      </c>
      <c r="AC393" s="454">
        <v>610</v>
      </c>
      <c r="AD393" s="669">
        <f>650.6+82.7</f>
        <v>733.30000000000007</v>
      </c>
      <c r="AE393" s="633">
        <v>162.19999999999999</v>
      </c>
      <c r="AF393" s="643">
        <v>250.7</v>
      </c>
      <c r="AG393" s="506"/>
      <c r="AH393" s="506"/>
      <c r="AI393" s="502"/>
    </row>
    <row r="394" spans="1:35" ht="31.5" x14ac:dyDescent="0.25">
      <c r="A394" s="90"/>
      <c r="B394" s="493"/>
      <c r="C394" s="493"/>
      <c r="D394" s="493"/>
      <c r="E394" s="495"/>
      <c r="F394" s="494"/>
      <c r="G394" s="496"/>
      <c r="H394" s="40"/>
      <c r="I394" s="91"/>
      <c r="J394" s="91"/>
      <c r="K394" s="91"/>
      <c r="L394" s="496"/>
      <c r="M394" s="91"/>
      <c r="N394" s="496"/>
      <c r="O394" s="82"/>
      <c r="P394" s="41"/>
      <c r="Q394" s="497"/>
      <c r="R394" s="498"/>
      <c r="S394" s="498"/>
      <c r="T394" s="498"/>
      <c r="U394" s="498"/>
      <c r="V394" s="498"/>
      <c r="X394" s="451" t="s">
        <v>811</v>
      </c>
      <c r="Y394" s="452" t="s">
        <v>63</v>
      </c>
      <c r="Z394" s="474" t="s">
        <v>8</v>
      </c>
      <c r="AA394" s="474" t="s">
        <v>8</v>
      </c>
      <c r="AB394" s="543" t="s">
        <v>815</v>
      </c>
      <c r="AC394" s="454"/>
      <c r="AD394" s="669">
        <f>AD395</f>
        <v>150</v>
      </c>
      <c r="AE394" s="669">
        <f t="shared" ref="AE394:AF397" si="121">AE395</f>
        <v>0</v>
      </c>
      <c r="AF394" s="669">
        <f t="shared" si="121"/>
        <v>0</v>
      </c>
      <c r="AG394" s="506"/>
      <c r="AH394" s="506"/>
      <c r="AI394" s="502"/>
    </row>
    <row r="395" spans="1:35" ht="31.5" x14ac:dyDescent="0.25">
      <c r="A395" s="90"/>
      <c r="B395" s="493"/>
      <c r="C395" s="493"/>
      <c r="D395" s="493"/>
      <c r="E395" s="495"/>
      <c r="F395" s="494"/>
      <c r="G395" s="496"/>
      <c r="H395" s="40"/>
      <c r="I395" s="91"/>
      <c r="J395" s="91"/>
      <c r="K395" s="91"/>
      <c r="L395" s="496"/>
      <c r="M395" s="91"/>
      <c r="N395" s="496"/>
      <c r="O395" s="82"/>
      <c r="P395" s="41"/>
      <c r="Q395" s="497"/>
      <c r="R395" s="498"/>
      <c r="S395" s="498"/>
      <c r="T395" s="498"/>
      <c r="U395" s="498"/>
      <c r="V395" s="498"/>
      <c r="X395" s="451" t="s">
        <v>810</v>
      </c>
      <c r="Y395" s="452" t="s">
        <v>63</v>
      </c>
      <c r="Z395" s="453" t="s">
        <v>8</v>
      </c>
      <c r="AA395" s="453" t="s">
        <v>8</v>
      </c>
      <c r="AB395" s="543" t="s">
        <v>814</v>
      </c>
      <c r="AC395" s="454"/>
      <c r="AD395" s="669">
        <f>AD396</f>
        <v>150</v>
      </c>
      <c r="AE395" s="669">
        <f t="shared" si="121"/>
        <v>0</v>
      </c>
      <c r="AF395" s="669">
        <f t="shared" si="121"/>
        <v>0</v>
      </c>
      <c r="AG395" s="506"/>
      <c r="AH395" s="506"/>
      <c r="AI395" s="502"/>
    </row>
    <row r="396" spans="1:35" x14ac:dyDescent="0.25">
      <c r="A396" s="90"/>
      <c r="B396" s="493"/>
      <c r="C396" s="493"/>
      <c r="D396" s="493"/>
      <c r="E396" s="495"/>
      <c r="F396" s="494"/>
      <c r="G396" s="496"/>
      <c r="H396" s="40"/>
      <c r="I396" s="91"/>
      <c r="J396" s="91"/>
      <c r="K396" s="91"/>
      <c r="L396" s="496"/>
      <c r="M396" s="91"/>
      <c r="N396" s="496"/>
      <c r="O396" s="82"/>
      <c r="P396" s="41"/>
      <c r="Q396" s="497"/>
      <c r="R396" s="498"/>
      <c r="S396" s="498"/>
      <c r="T396" s="498"/>
      <c r="U396" s="498"/>
      <c r="V396" s="498"/>
      <c r="X396" s="451" t="s">
        <v>812</v>
      </c>
      <c r="Y396" s="452" t="s">
        <v>63</v>
      </c>
      <c r="Z396" s="474" t="s">
        <v>8</v>
      </c>
      <c r="AA396" s="474" t="s">
        <v>8</v>
      </c>
      <c r="AB396" s="543" t="s">
        <v>813</v>
      </c>
      <c r="AC396" s="454"/>
      <c r="AD396" s="669">
        <f>AD397</f>
        <v>150</v>
      </c>
      <c r="AE396" s="669">
        <f t="shared" si="121"/>
        <v>0</v>
      </c>
      <c r="AF396" s="669">
        <f t="shared" si="121"/>
        <v>0</v>
      </c>
      <c r="AG396" s="506"/>
      <c r="AH396" s="506"/>
      <c r="AI396" s="502"/>
    </row>
    <row r="397" spans="1:35" ht="31.5" x14ac:dyDescent="0.25">
      <c r="A397" s="90"/>
      <c r="B397" s="493"/>
      <c r="C397" s="493"/>
      <c r="D397" s="493"/>
      <c r="E397" s="495"/>
      <c r="F397" s="494"/>
      <c r="G397" s="496"/>
      <c r="H397" s="40"/>
      <c r="I397" s="91"/>
      <c r="J397" s="91"/>
      <c r="K397" s="91"/>
      <c r="L397" s="496"/>
      <c r="M397" s="91"/>
      <c r="N397" s="496"/>
      <c r="O397" s="82"/>
      <c r="P397" s="41"/>
      <c r="Q397" s="497"/>
      <c r="R397" s="498"/>
      <c r="S397" s="498"/>
      <c r="T397" s="498"/>
      <c r="U397" s="498"/>
      <c r="V397" s="498"/>
      <c r="X397" s="451" t="s">
        <v>60</v>
      </c>
      <c r="Y397" s="452" t="s">
        <v>63</v>
      </c>
      <c r="Z397" s="474" t="s">
        <v>8</v>
      </c>
      <c r="AA397" s="474" t="s">
        <v>8</v>
      </c>
      <c r="AB397" s="543" t="s">
        <v>813</v>
      </c>
      <c r="AC397" s="454">
        <v>600</v>
      </c>
      <c r="AD397" s="669">
        <f>AD398</f>
        <v>150</v>
      </c>
      <c r="AE397" s="669">
        <f t="shared" si="121"/>
        <v>0</v>
      </c>
      <c r="AF397" s="669">
        <f t="shared" si="121"/>
        <v>0</v>
      </c>
      <c r="AG397" s="506"/>
      <c r="AH397" s="506"/>
      <c r="AI397" s="502"/>
    </row>
    <row r="398" spans="1:35" x14ac:dyDescent="0.25">
      <c r="A398" s="90"/>
      <c r="B398" s="493"/>
      <c r="C398" s="493"/>
      <c r="D398" s="493"/>
      <c r="E398" s="495"/>
      <c r="F398" s="494"/>
      <c r="G398" s="496"/>
      <c r="H398" s="40"/>
      <c r="I398" s="91"/>
      <c r="J398" s="91"/>
      <c r="K398" s="91"/>
      <c r="L398" s="496"/>
      <c r="M398" s="91"/>
      <c r="N398" s="496"/>
      <c r="O398" s="82"/>
      <c r="P398" s="41"/>
      <c r="Q398" s="497"/>
      <c r="R398" s="498"/>
      <c r="S398" s="498"/>
      <c r="T398" s="498"/>
      <c r="U398" s="498"/>
      <c r="V398" s="498"/>
      <c r="X398" s="451" t="s">
        <v>61</v>
      </c>
      <c r="Y398" s="452" t="s">
        <v>63</v>
      </c>
      <c r="Z398" s="474" t="s">
        <v>8</v>
      </c>
      <c r="AA398" s="474" t="s">
        <v>8</v>
      </c>
      <c r="AB398" s="543" t="s">
        <v>813</v>
      </c>
      <c r="AC398" s="454">
        <v>610</v>
      </c>
      <c r="AD398" s="669">
        <v>150</v>
      </c>
      <c r="AE398" s="633">
        <v>0</v>
      </c>
      <c r="AF398" s="643">
        <v>0</v>
      </c>
      <c r="AG398" s="506"/>
      <c r="AH398" s="506"/>
      <c r="AI398" s="502"/>
    </row>
    <row r="399" spans="1:35" x14ac:dyDescent="0.25">
      <c r="A399" s="90"/>
      <c r="B399" s="78"/>
      <c r="C399" s="78"/>
      <c r="D399" s="78"/>
      <c r="E399" s="80"/>
      <c r="F399" s="79"/>
      <c r="G399" s="81"/>
      <c r="H399" s="40"/>
      <c r="I399" s="91"/>
      <c r="J399" s="91"/>
      <c r="K399" s="91"/>
      <c r="L399" s="81"/>
      <c r="M399" s="91"/>
      <c r="N399" s="81"/>
      <c r="O399" s="82"/>
      <c r="P399" s="41"/>
      <c r="Q399" s="83"/>
      <c r="R399" s="87"/>
      <c r="S399" s="87"/>
      <c r="T399" s="87"/>
      <c r="U399" s="87"/>
      <c r="V399" s="87"/>
      <c r="X399" s="451" t="s">
        <v>38</v>
      </c>
      <c r="Y399" s="452" t="s">
        <v>63</v>
      </c>
      <c r="Z399" s="453" t="s">
        <v>8</v>
      </c>
      <c r="AA399" s="453" t="s">
        <v>22</v>
      </c>
      <c r="AB399" s="541"/>
      <c r="AC399" s="454"/>
      <c r="AD399" s="669">
        <f>AD401</f>
        <v>2760</v>
      </c>
      <c r="AE399" s="633">
        <f>AE401</f>
        <v>3040</v>
      </c>
      <c r="AF399" s="643">
        <f>AF401</f>
        <v>3060</v>
      </c>
      <c r="AG399" s="180"/>
      <c r="AH399" s="180"/>
      <c r="AI399" s="147"/>
    </row>
    <row r="400" spans="1:35" x14ac:dyDescent="0.25">
      <c r="A400" s="90"/>
      <c r="B400" s="78"/>
      <c r="C400" s="78"/>
      <c r="D400" s="78"/>
      <c r="E400" s="80"/>
      <c r="F400" s="79"/>
      <c r="G400" s="81"/>
      <c r="H400" s="40"/>
      <c r="I400" s="91"/>
      <c r="J400" s="91"/>
      <c r="K400" s="91"/>
      <c r="L400" s="81"/>
      <c r="M400" s="91"/>
      <c r="N400" s="81"/>
      <c r="O400" s="82"/>
      <c r="P400" s="41"/>
      <c r="Q400" s="83"/>
      <c r="R400" s="87"/>
      <c r="S400" s="87"/>
      <c r="T400" s="87"/>
      <c r="U400" s="87"/>
      <c r="V400" s="87"/>
      <c r="X400" s="457" t="s">
        <v>292</v>
      </c>
      <c r="Y400" s="452" t="s">
        <v>63</v>
      </c>
      <c r="Z400" s="453" t="s">
        <v>8</v>
      </c>
      <c r="AA400" s="453" t="s">
        <v>22</v>
      </c>
      <c r="AB400" s="542" t="s">
        <v>109</v>
      </c>
      <c r="AC400" s="454"/>
      <c r="AD400" s="669">
        <f t="shared" ref="AD400:AF406" si="122">AD401</f>
        <v>2760</v>
      </c>
      <c r="AE400" s="633">
        <f t="shared" si="122"/>
        <v>3040</v>
      </c>
      <c r="AF400" s="643">
        <f t="shared" si="122"/>
        <v>3060</v>
      </c>
      <c r="AG400" s="180"/>
      <c r="AH400" s="180"/>
      <c r="AI400" s="147"/>
    </row>
    <row r="401" spans="1:35" x14ac:dyDescent="0.25">
      <c r="A401" s="90"/>
      <c r="B401" s="78"/>
      <c r="C401" s="78"/>
      <c r="D401" s="78"/>
      <c r="E401" s="80"/>
      <c r="F401" s="79"/>
      <c r="G401" s="81"/>
      <c r="H401" s="40"/>
      <c r="I401" s="91"/>
      <c r="J401" s="91"/>
      <c r="K401" s="91"/>
      <c r="L401" s="73"/>
      <c r="M401" s="91"/>
      <c r="N401" s="73"/>
      <c r="O401" s="82"/>
      <c r="P401" s="41"/>
      <c r="Q401" s="83"/>
      <c r="R401" s="87"/>
      <c r="S401" s="87"/>
      <c r="T401" s="87"/>
      <c r="U401" s="87"/>
      <c r="V401" s="87"/>
      <c r="X401" s="457" t="s">
        <v>296</v>
      </c>
      <c r="Y401" s="452" t="s">
        <v>63</v>
      </c>
      <c r="Z401" s="453" t="s">
        <v>8</v>
      </c>
      <c r="AA401" s="453" t="s">
        <v>22</v>
      </c>
      <c r="AB401" s="542" t="s">
        <v>110</v>
      </c>
      <c r="AC401" s="454"/>
      <c r="AD401" s="669">
        <f t="shared" si="122"/>
        <v>2760</v>
      </c>
      <c r="AE401" s="633">
        <f t="shared" si="122"/>
        <v>3040</v>
      </c>
      <c r="AF401" s="643">
        <f t="shared" si="122"/>
        <v>3060</v>
      </c>
      <c r="AG401" s="180"/>
      <c r="AH401" s="180"/>
      <c r="AI401" s="147"/>
    </row>
    <row r="402" spans="1:35" x14ac:dyDescent="0.25">
      <c r="A402" s="90"/>
      <c r="B402" s="78"/>
      <c r="C402" s="78"/>
      <c r="D402" s="78"/>
      <c r="E402" s="80"/>
      <c r="F402" s="79"/>
      <c r="G402" s="81"/>
      <c r="H402" s="40"/>
      <c r="I402" s="91"/>
      <c r="J402" s="91"/>
      <c r="K402" s="91"/>
      <c r="L402" s="73"/>
      <c r="M402" s="91"/>
      <c r="N402" s="73"/>
      <c r="O402" s="82"/>
      <c r="P402" s="41"/>
      <c r="Q402" s="83"/>
      <c r="R402" s="87"/>
      <c r="S402" s="87"/>
      <c r="T402" s="87"/>
      <c r="U402" s="87"/>
      <c r="V402" s="87"/>
      <c r="X402" s="661" t="s">
        <v>503</v>
      </c>
      <c r="Y402" s="452" t="s">
        <v>63</v>
      </c>
      <c r="Z402" s="453" t="s">
        <v>8</v>
      </c>
      <c r="AA402" s="453" t="s">
        <v>22</v>
      </c>
      <c r="AB402" s="542" t="s">
        <v>502</v>
      </c>
      <c r="AC402" s="454"/>
      <c r="AD402" s="669">
        <f>AD406+AD403</f>
        <v>2760</v>
      </c>
      <c r="AE402" s="633">
        <f>AE406</f>
        <v>3040</v>
      </c>
      <c r="AF402" s="633">
        <f>AF406</f>
        <v>3060</v>
      </c>
      <c r="AG402" s="180"/>
      <c r="AH402" s="180"/>
      <c r="AI402" s="147"/>
    </row>
    <row r="403" spans="1:35" ht="48.75" customHeight="1" x14ac:dyDescent="0.25">
      <c r="A403" s="90"/>
      <c r="B403" s="493"/>
      <c r="C403" s="493"/>
      <c r="D403" s="493"/>
      <c r="E403" s="495"/>
      <c r="F403" s="494"/>
      <c r="G403" s="496"/>
      <c r="H403" s="40"/>
      <c r="I403" s="91"/>
      <c r="J403" s="91"/>
      <c r="K403" s="91"/>
      <c r="L403" s="492"/>
      <c r="M403" s="91"/>
      <c r="N403" s="492"/>
      <c r="O403" s="82"/>
      <c r="P403" s="41"/>
      <c r="Q403" s="497"/>
      <c r="R403" s="498"/>
      <c r="S403" s="498"/>
      <c r="T403" s="498"/>
      <c r="U403" s="498"/>
      <c r="V403" s="498"/>
      <c r="X403" s="661" t="s">
        <v>847</v>
      </c>
      <c r="Y403" s="452" t="s">
        <v>63</v>
      </c>
      <c r="Z403" s="453" t="s">
        <v>8</v>
      </c>
      <c r="AA403" s="453" t="s">
        <v>22</v>
      </c>
      <c r="AB403" s="542" t="s">
        <v>848</v>
      </c>
      <c r="AC403" s="454"/>
      <c r="AD403" s="669">
        <f>AD404</f>
        <v>260</v>
      </c>
      <c r="AE403" s="669">
        <f t="shared" ref="AE403:AF403" si="123">AE404</f>
        <v>0</v>
      </c>
      <c r="AF403" s="669">
        <f t="shared" si="123"/>
        <v>0</v>
      </c>
      <c r="AG403" s="506"/>
      <c r="AH403" s="506"/>
      <c r="AI403" s="502"/>
    </row>
    <row r="404" spans="1:35" ht="21.75" customHeight="1" x14ac:dyDescent="0.25">
      <c r="A404" s="90"/>
      <c r="B404" s="493"/>
      <c r="C404" s="493"/>
      <c r="D404" s="493"/>
      <c r="E404" s="495"/>
      <c r="F404" s="494"/>
      <c r="G404" s="496"/>
      <c r="H404" s="40"/>
      <c r="I404" s="91"/>
      <c r="J404" s="91"/>
      <c r="K404" s="91"/>
      <c r="L404" s="492"/>
      <c r="M404" s="91"/>
      <c r="N404" s="492"/>
      <c r="O404" s="82"/>
      <c r="P404" s="41"/>
      <c r="Q404" s="497"/>
      <c r="R404" s="498"/>
      <c r="S404" s="498"/>
      <c r="T404" s="498"/>
      <c r="U404" s="498"/>
      <c r="V404" s="498"/>
      <c r="X404" s="451" t="s">
        <v>97</v>
      </c>
      <c r="Y404" s="452" t="s">
        <v>63</v>
      </c>
      <c r="Z404" s="453" t="s">
        <v>8</v>
      </c>
      <c r="AA404" s="453" t="s">
        <v>22</v>
      </c>
      <c r="AB404" s="542" t="s">
        <v>848</v>
      </c>
      <c r="AC404" s="454">
        <v>300</v>
      </c>
      <c r="AD404" s="669">
        <f>AD405</f>
        <v>260</v>
      </c>
      <c r="AE404" s="669">
        <f t="shared" ref="AE404:AF404" si="124">AE405</f>
        <v>0</v>
      </c>
      <c r="AF404" s="669">
        <f t="shared" si="124"/>
        <v>0</v>
      </c>
      <c r="AG404" s="506"/>
      <c r="AH404" s="506"/>
      <c r="AI404" s="502"/>
    </row>
    <row r="405" spans="1:35" ht="21.75" customHeight="1" x14ac:dyDescent="0.25">
      <c r="A405" s="90"/>
      <c r="B405" s="493"/>
      <c r="C405" s="493"/>
      <c r="D405" s="493"/>
      <c r="E405" s="495"/>
      <c r="F405" s="494"/>
      <c r="G405" s="496"/>
      <c r="H405" s="40"/>
      <c r="I405" s="91"/>
      <c r="J405" s="91"/>
      <c r="K405" s="91"/>
      <c r="L405" s="492"/>
      <c r="M405" s="91"/>
      <c r="N405" s="492"/>
      <c r="O405" s="82"/>
      <c r="P405" s="41"/>
      <c r="Q405" s="497"/>
      <c r="R405" s="498"/>
      <c r="S405" s="498"/>
      <c r="T405" s="498"/>
      <c r="U405" s="498"/>
      <c r="V405" s="498"/>
      <c r="X405" s="451" t="s">
        <v>40</v>
      </c>
      <c r="Y405" s="452" t="s">
        <v>63</v>
      </c>
      <c r="Z405" s="453" t="s">
        <v>8</v>
      </c>
      <c r="AA405" s="453" t="s">
        <v>22</v>
      </c>
      <c r="AB405" s="542" t="s">
        <v>848</v>
      </c>
      <c r="AC405" s="454">
        <v>320</v>
      </c>
      <c r="AD405" s="669">
        <v>260</v>
      </c>
      <c r="AE405" s="669">
        <v>0</v>
      </c>
      <c r="AF405" s="669">
        <v>0</v>
      </c>
      <c r="AG405" s="506"/>
      <c r="AH405" s="506"/>
      <c r="AI405" s="502"/>
    </row>
    <row r="406" spans="1:35" x14ac:dyDescent="0.25">
      <c r="A406" s="90"/>
      <c r="B406" s="78"/>
      <c r="C406" s="78"/>
      <c r="D406" s="78"/>
      <c r="E406" s="80"/>
      <c r="F406" s="79"/>
      <c r="G406" s="81"/>
      <c r="H406" s="40"/>
      <c r="I406" s="91"/>
      <c r="J406" s="91"/>
      <c r="K406" s="91"/>
      <c r="L406" s="73"/>
      <c r="M406" s="91"/>
      <c r="N406" s="73"/>
      <c r="O406" s="82"/>
      <c r="P406" s="41"/>
      <c r="Q406" s="83"/>
      <c r="R406" s="87"/>
      <c r="S406" s="87"/>
      <c r="T406" s="87"/>
      <c r="U406" s="87"/>
      <c r="V406" s="87"/>
      <c r="X406" s="465" t="s">
        <v>297</v>
      </c>
      <c r="Y406" s="452" t="s">
        <v>63</v>
      </c>
      <c r="Z406" s="453" t="s">
        <v>8</v>
      </c>
      <c r="AA406" s="453" t="s">
        <v>22</v>
      </c>
      <c r="AB406" s="542" t="s">
        <v>504</v>
      </c>
      <c r="AC406" s="454"/>
      <c r="AD406" s="669">
        <f t="shared" si="122"/>
        <v>2500</v>
      </c>
      <c r="AE406" s="633">
        <f t="shared" si="122"/>
        <v>3040</v>
      </c>
      <c r="AF406" s="643">
        <f t="shared" si="122"/>
        <v>3060</v>
      </c>
      <c r="AG406" s="180"/>
      <c r="AH406" s="180"/>
      <c r="AI406" s="147"/>
    </row>
    <row r="407" spans="1:35" ht="47.25" x14ac:dyDescent="0.25">
      <c r="A407" s="90"/>
      <c r="B407" s="78"/>
      <c r="C407" s="78"/>
      <c r="D407" s="78"/>
      <c r="E407" s="80"/>
      <c r="F407" s="79"/>
      <c r="G407" s="81"/>
      <c r="H407" s="40"/>
      <c r="I407" s="91"/>
      <c r="J407" s="91"/>
      <c r="K407" s="91"/>
      <c r="L407" s="73"/>
      <c r="M407" s="91"/>
      <c r="N407" s="73"/>
      <c r="O407" s="82"/>
      <c r="P407" s="41"/>
      <c r="Q407" s="83"/>
      <c r="R407" s="87"/>
      <c r="S407" s="87"/>
      <c r="T407" s="87"/>
      <c r="U407" s="87"/>
      <c r="V407" s="87"/>
      <c r="X407" s="465" t="s">
        <v>317</v>
      </c>
      <c r="Y407" s="452" t="s">
        <v>63</v>
      </c>
      <c r="Z407" s="453" t="s">
        <v>8</v>
      </c>
      <c r="AA407" s="453" t="s">
        <v>22</v>
      </c>
      <c r="AB407" s="542" t="s">
        <v>505</v>
      </c>
      <c r="AC407" s="454"/>
      <c r="AD407" s="669">
        <f>AD408+AD410</f>
        <v>2500</v>
      </c>
      <c r="AE407" s="669">
        <f t="shared" ref="AE407:AF407" si="125">AE408+AE410</f>
        <v>3040</v>
      </c>
      <c r="AF407" s="669">
        <f t="shared" si="125"/>
        <v>3060</v>
      </c>
      <c r="AG407" s="180"/>
      <c r="AH407" s="180"/>
      <c r="AI407" s="147"/>
    </row>
    <row r="408" spans="1:35" x14ac:dyDescent="0.25">
      <c r="A408" s="90"/>
      <c r="B408" s="78"/>
      <c r="C408" s="78"/>
      <c r="D408" s="78"/>
      <c r="E408" s="80"/>
      <c r="F408" s="79"/>
      <c r="G408" s="81"/>
      <c r="H408" s="40"/>
      <c r="I408" s="91"/>
      <c r="J408" s="91"/>
      <c r="K408" s="91"/>
      <c r="L408" s="73"/>
      <c r="M408" s="91"/>
      <c r="N408" s="73"/>
      <c r="O408" s="82"/>
      <c r="P408" s="41"/>
      <c r="Q408" s="83"/>
      <c r="R408" s="87"/>
      <c r="S408" s="87"/>
      <c r="T408" s="87"/>
      <c r="U408" s="87"/>
      <c r="V408" s="87"/>
      <c r="X408" s="651" t="s">
        <v>120</v>
      </c>
      <c r="Y408" s="452" t="s">
        <v>63</v>
      </c>
      <c r="Z408" s="453" t="s">
        <v>8</v>
      </c>
      <c r="AA408" s="453" t="s">
        <v>22</v>
      </c>
      <c r="AB408" s="542" t="s">
        <v>505</v>
      </c>
      <c r="AC408" s="454">
        <v>200</v>
      </c>
      <c r="AD408" s="669">
        <f>AD409</f>
        <v>2500</v>
      </c>
      <c r="AE408" s="633">
        <f>AE409</f>
        <v>2820</v>
      </c>
      <c r="AF408" s="643">
        <f>AF409</f>
        <v>2840</v>
      </c>
      <c r="AG408" s="180"/>
      <c r="AH408" s="180"/>
      <c r="AI408" s="147"/>
    </row>
    <row r="409" spans="1:35" ht="31.5" x14ac:dyDescent="0.25">
      <c r="A409" s="90"/>
      <c r="B409" s="78"/>
      <c r="C409" s="78"/>
      <c r="D409" s="78"/>
      <c r="E409" s="80"/>
      <c r="F409" s="79"/>
      <c r="G409" s="81"/>
      <c r="H409" s="40"/>
      <c r="I409" s="91"/>
      <c r="J409" s="91"/>
      <c r="K409" s="91"/>
      <c r="L409" s="73"/>
      <c r="M409" s="91"/>
      <c r="N409" s="73"/>
      <c r="O409" s="82"/>
      <c r="P409" s="41"/>
      <c r="Q409" s="83"/>
      <c r="R409" s="87"/>
      <c r="S409" s="87"/>
      <c r="T409" s="87"/>
      <c r="U409" s="87"/>
      <c r="V409" s="87"/>
      <c r="X409" s="651" t="s">
        <v>52</v>
      </c>
      <c r="Y409" s="452" t="s">
        <v>63</v>
      </c>
      <c r="Z409" s="453" t="s">
        <v>8</v>
      </c>
      <c r="AA409" s="453" t="s">
        <v>22</v>
      </c>
      <c r="AB409" s="542" t="s">
        <v>505</v>
      </c>
      <c r="AC409" s="454">
        <v>240</v>
      </c>
      <c r="AD409" s="669">
        <f>2700-4.2+4.2+1084.4-824.4-191.8-268.2</f>
        <v>2500</v>
      </c>
      <c r="AE409" s="633">
        <f>2650+170</f>
        <v>2820</v>
      </c>
      <c r="AF409" s="643">
        <f>2670+170</f>
        <v>2840</v>
      </c>
      <c r="AG409" s="180"/>
      <c r="AH409" s="180"/>
      <c r="AI409" s="147"/>
    </row>
    <row r="410" spans="1:35" x14ac:dyDescent="0.25">
      <c r="A410" s="90"/>
      <c r="B410" s="493"/>
      <c r="C410" s="493"/>
      <c r="D410" s="493"/>
      <c r="E410" s="495"/>
      <c r="F410" s="494"/>
      <c r="G410" s="496"/>
      <c r="H410" s="40"/>
      <c r="I410" s="91"/>
      <c r="J410" s="91"/>
      <c r="K410" s="91"/>
      <c r="L410" s="492"/>
      <c r="M410" s="91"/>
      <c r="N410" s="492"/>
      <c r="O410" s="82"/>
      <c r="P410" s="41"/>
      <c r="Q410" s="497"/>
      <c r="R410" s="498"/>
      <c r="S410" s="498"/>
      <c r="T410" s="498"/>
      <c r="U410" s="498"/>
      <c r="V410" s="498"/>
      <c r="X410" s="451" t="s">
        <v>97</v>
      </c>
      <c r="Y410" s="452" t="s">
        <v>63</v>
      </c>
      <c r="Z410" s="453" t="s">
        <v>8</v>
      </c>
      <c r="AA410" s="453" t="s">
        <v>22</v>
      </c>
      <c r="AB410" s="542" t="s">
        <v>505</v>
      </c>
      <c r="AC410" s="454">
        <v>300</v>
      </c>
      <c r="AD410" s="669">
        <f>AD411</f>
        <v>0</v>
      </c>
      <c r="AE410" s="633">
        <f>AE411</f>
        <v>220</v>
      </c>
      <c r="AF410" s="643">
        <f>AF411</f>
        <v>220</v>
      </c>
      <c r="AG410" s="506"/>
      <c r="AH410" s="506"/>
      <c r="AI410" s="502"/>
    </row>
    <row r="411" spans="1:35" x14ac:dyDescent="0.25">
      <c r="A411" s="90"/>
      <c r="B411" s="493"/>
      <c r="C411" s="493"/>
      <c r="D411" s="493"/>
      <c r="E411" s="495"/>
      <c r="F411" s="494"/>
      <c r="G411" s="496"/>
      <c r="H411" s="40"/>
      <c r="I411" s="91"/>
      <c r="J411" s="91"/>
      <c r="K411" s="91"/>
      <c r="L411" s="492"/>
      <c r="M411" s="91"/>
      <c r="N411" s="492"/>
      <c r="O411" s="82"/>
      <c r="P411" s="41"/>
      <c r="Q411" s="497"/>
      <c r="R411" s="498"/>
      <c r="S411" s="498"/>
      <c r="T411" s="498"/>
      <c r="U411" s="498"/>
      <c r="V411" s="498"/>
      <c r="X411" s="451" t="s">
        <v>40</v>
      </c>
      <c r="Y411" s="452" t="s">
        <v>63</v>
      </c>
      <c r="Z411" s="453" t="s">
        <v>8</v>
      </c>
      <c r="AA411" s="453" t="s">
        <v>22</v>
      </c>
      <c r="AB411" s="542" t="s">
        <v>505</v>
      </c>
      <c r="AC411" s="454">
        <v>320</v>
      </c>
      <c r="AD411" s="669">
        <f>260-260</f>
        <v>0</v>
      </c>
      <c r="AE411" s="633">
        <v>220</v>
      </c>
      <c r="AF411" s="643">
        <v>220</v>
      </c>
      <c r="AG411" s="506"/>
      <c r="AH411" s="506"/>
      <c r="AI411" s="502"/>
    </row>
    <row r="412" spans="1:35" s="77" customFormat="1" ht="18.75" x14ac:dyDescent="0.3">
      <c r="A412" s="68"/>
      <c r="B412" s="69"/>
      <c r="C412" s="71"/>
      <c r="D412" s="72"/>
      <c r="E412" s="72"/>
      <c r="F412" s="72"/>
      <c r="G412" s="73"/>
      <c r="H412" s="73"/>
      <c r="I412" s="73"/>
      <c r="J412" s="73"/>
      <c r="K412" s="73"/>
      <c r="L412" s="125"/>
      <c r="M412" s="73"/>
      <c r="N412" s="73"/>
      <c r="O412" s="74"/>
      <c r="P412" s="73"/>
      <c r="Q412" s="75"/>
      <c r="R412" s="95"/>
      <c r="S412" s="95"/>
      <c r="T412" s="95"/>
      <c r="U412" s="95"/>
      <c r="V412" s="95"/>
      <c r="W412" s="95"/>
      <c r="X412" s="650" t="s">
        <v>21</v>
      </c>
      <c r="Y412" s="448" t="s">
        <v>63</v>
      </c>
      <c r="Z412" s="471" t="s">
        <v>16</v>
      </c>
      <c r="AA412" s="540"/>
      <c r="AB412" s="539"/>
      <c r="AC412" s="476"/>
      <c r="AD412" s="668">
        <f t="shared" ref="AD412:AF412" si="126">AD413</f>
        <v>215995</v>
      </c>
      <c r="AE412" s="632">
        <f t="shared" si="126"/>
        <v>168096</v>
      </c>
      <c r="AF412" s="642">
        <f t="shared" si="126"/>
        <v>153265.90000000002</v>
      </c>
      <c r="AG412" s="205"/>
      <c r="AH412" s="205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64</v>
      </c>
      <c r="Y413" s="452" t="s">
        <v>63</v>
      </c>
      <c r="Z413" s="453" t="s">
        <v>16</v>
      </c>
      <c r="AA413" s="453" t="s">
        <v>29</v>
      </c>
      <c r="AB413" s="541"/>
      <c r="AC413" s="482"/>
      <c r="AD413" s="669">
        <f>AD414+AD470</f>
        <v>215995</v>
      </c>
      <c r="AE413" s="633">
        <f>AE414+AE470</f>
        <v>168096</v>
      </c>
      <c r="AF413" s="643">
        <f>AF414+AF470</f>
        <v>153265.90000000002</v>
      </c>
      <c r="AG413" s="180"/>
      <c r="AH413" s="180"/>
      <c r="AI413" s="147"/>
    </row>
    <row r="414" spans="1:35" s="103" customFormat="1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81"/>
      <c r="M414" s="81"/>
      <c r="N414" s="81"/>
      <c r="O414" s="92"/>
      <c r="P414" s="81"/>
      <c r="Q414" s="83"/>
      <c r="R414" s="87"/>
      <c r="S414" s="87"/>
      <c r="T414" s="87"/>
      <c r="U414" s="87"/>
      <c r="V414" s="87"/>
      <c r="W414" s="87"/>
      <c r="X414" s="459" t="s">
        <v>572</v>
      </c>
      <c r="Y414" s="452" t="s">
        <v>63</v>
      </c>
      <c r="Z414" s="453" t="s">
        <v>16</v>
      </c>
      <c r="AA414" s="453" t="s">
        <v>29</v>
      </c>
      <c r="AB414" s="542" t="s">
        <v>114</v>
      </c>
      <c r="AC414" s="482"/>
      <c r="AD414" s="669">
        <f>AD420+AD429+AD444+AD415</f>
        <v>197357.7</v>
      </c>
      <c r="AE414" s="669">
        <f t="shared" ref="AE414:AF414" si="127">AE420+AE429+AE444+AE415</f>
        <v>146624</v>
      </c>
      <c r="AF414" s="669">
        <f t="shared" si="127"/>
        <v>130913.90000000001</v>
      </c>
      <c r="AG414" s="180"/>
      <c r="AH414" s="180"/>
      <c r="AI414" s="147"/>
    </row>
    <row r="415" spans="1:35" s="500" customFormat="1" ht="30.75" customHeight="1" x14ac:dyDescent="0.25">
      <c r="A415" s="491"/>
      <c r="B415" s="493"/>
      <c r="C415" s="494"/>
      <c r="D415" s="494"/>
      <c r="E415" s="495"/>
      <c r="F415" s="495"/>
      <c r="G415" s="496"/>
      <c r="H415" s="496"/>
      <c r="I415" s="496"/>
      <c r="J415" s="496"/>
      <c r="K415" s="496"/>
      <c r="L415" s="496"/>
      <c r="M415" s="496"/>
      <c r="N415" s="496"/>
      <c r="O415" s="499"/>
      <c r="P415" s="496"/>
      <c r="Q415" s="497"/>
      <c r="R415" s="498"/>
      <c r="S415" s="498"/>
      <c r="T415" s="498"/>
      <c r="U415" s="498"/>
      <c r="V415" s="498"/>
      <c r="W415" s="498"/>
      <c r="X415" s="451" t="s">
        <v>874</v>
      </c>
      <c r="Y415" s="452" t="s">
        <v>63</v>
      </c>
      <c r="Z415" s="453" t="s">
        <v>16</v>
      </c>
      <c r="AA415" s="453" t="s">
        <v>29</v>
      </c>
      <c r="AB415" s="542" t="s">
        <v>875</v>
      </c>
      <c r="AC415" s="482"/>
      <c r="AD415" s="669">
        <f>AD416</f>
        <v>570</v>
      </c>
      <c r="AE415" s="669">
        <f t="shared" ref="AE415:AF417" si="128">AE416</f>
        <v>0</v>
      </c>
      <c r="AF415" s="669">
        <f t="shared" si="128"/>
        <v>0</v>
      </c>
      <c r="AG415" s="506"/>
      <c r="AH415" s="506"/>
      <c r="AI415" s="502"/>
    </row>
    <row r="416" spans="1:35" s="500" customFormat="1" ht="39.75" customHeight="1" x14ac:dyDescent="0.25">
      <c r="A416" s="491"/>
      <c r="B416" s="493"/>
      <c r="C416" s="494"/>
      <c r="D416" s="494"/>
      <c r="E416" s="495"/>
      <c r="F416" s="495"/>
      <c r="G416" s="496"/>
      <c r="H416" s="496"/>
      <c r="I416" s="496"/>
      <c r="J416" s="496"/>
      <c r="K416" s="496"/>
      <c r="L416" s="496"/>
      <c r="M416" s="496"/>
      <c r="N416" s="496"/>
      <c r="O416" s="499"/>
      <c r="P416" s="496"/>
      <c r="Q416" s="497"/>
      <c r="R416" s="498"/>
      <c r="S416" s="498"/>
      <c r="T416" s="498"/>
      <c r="U416" s="498"/>
      <c r="V416" s="498"/>
      <c r="W416" s="498"/>
      <c r="X416" s="459" t="s">
        <v>872</v>
      </c>
      <c r="Y416" s="452" t="s">
        <v>63</v>
      </c>
      <c r="Z416" s="453" t="s">
        <v>16</v>
      </c>
      <c r="AA416" s="453" t="s">
        <v>29</v>
      </c>
      <c r="AB416" s="542" t="s">
        <v>876</v>
      </c>
      <c r="AC416" s="482"/>
      <c r="AD416" s="669">
        <f>AD417</f>
        <v>570</v>
      </c>
      <c r="AE416" s="669">
        <f t="shared" si="128"/>
        <v>0</v>
      </c>
      <c r="AF416" s="669">
        <f t="shared" si="128"/>
        <v>0</v>
      </c>
      <c r="AG416" s="506"/>
      <c r="AH416" s="506"/>
      <c r="AI416" s="502"/>
    </row>
    <row r="417" spans="1:35" s="500" customFormat="1" ht="37.5" customHeight="1" x14ac:dyDescent="0.25">
      <c r="A417" s="491"/>
      <c r="B417" s="493"/>
      <c r="C417" s="494"/>
      <c r="D417" s="494"/>
      <c r="E417" s="495"/>
      <c r="F417" s="495"/>
      <c r="G417" s="496"/>
      <c r="H417" s="496"/>
      <c r="I417" s="496"/>
      <c r="J417" s="496"/>
      <c r="K417" s="496"/>
      <c r="L417" s="496"/>
      <c r="M417" s="496"/>
      <c r="N417" s="496"/>
      <c r="O417" s="499"/>
      <c r="P417" s="496"/>
      <c r="Q417" s="497"/>
      <c r="R417" s="498"/>
      <c r="S417" s="498"/>
      <c r="T417" s="498"/>
      <c r="U417" s="498"/>
      <c r="V417" s="498"/>
      <c r="W417" s="498"/>
      <c r="X417" s="459" t="s">
        <v>873</v>
      </c>
      <c r="Y417" s="452" t="s">
        <v>63</v>
      </c>
      <c r="Z417" s="453" t="s">
        <v>16</v>
      </c>
      <c r="AA417" s="453" t="s">
        <v>29</v>
      </c>
      <c r="AB417" s="542" t="s">
        <v>877</v>
      </c>
      <c r="AC417" s="482"/>
      <c r="AD417" s="669">
        <f>AD418</f>
        <v>570</v>
      </c>
      <c r="AE417" s="669">
        <f t="shared" si="128"/>
        <v>0</v>
      </c>
      <c r="AF417" s="669">
        <f t="shared" si="128"/>
        <v>0</v>
      </c>
      <c r="AG417" s="506"/>
      <c r="AH417" s="506"/>
      <c r="AI417" s="502"/>
    </row>
    <row r="418" spans="1:35" s="500" customFormat="1" ht="31.5" x14ac:dyDescent="0.25">
      <c r="A418" s="491"/>
      <c r="B418" s="493"/>
      <c r="C418" s="494"/>
      <c r="D418" s="494"/>
      <c r="E418" s="495"/>
      <c r="F418" s="495"/>
      <c r="G418" s="496"/>
      <c r="H418" s="496"/>
      <c r="I418" s="496"/>
      <c r="J418" s="496"/>
      <c r="K418" s="496"/>
      <c r="L418" s="496"/>
      <c r="M418" s="496"/>
      <c r="N418" s="496"/>
      <c r="O418" s="499"/>
      <c r="P418" s="496"/>
      <c r="Q418" s="497"/>
      <c r="R418" s="498"/>
      <c r="S418" s="498"/>
      <c r="T418" s="498"/>
      <c r="U418" s="498"/>
      <c r="V418" s="498"/>
      <c r="W418" s="498"/>
      <c r="X418" s="451" t="s">
        <v>60</v>
      </c>
      <c r="Y418" s="452" t="s">
        <v>63</v>
      </c>
      <c r="Z418" s="453" t="s">
        <v>16</v>
      </c>
      <c r="AA418" s="453" t="s">
        <v>29</v>
      </c>
      <c r="AB418" s="542" t="s">
        <v>877</v>
      </c>
      <c r="AC418" s="482">
        <v>600</v>
      </c>
      <c r="AD418" s="669">
        <f>AD419</f>
        <v>570</v>
      </c>
      <c r="AE418" s="669">
        <f t="shared" ref="AE418:AF418" si="129">AE419</f>
        <v>0</v>
      </c>
      <c r="AF418" s="669">
        <f t="shared" si="129"/>
        <v>0</v>
      </c>
      <c r="AG418" s="506"/>
      <c r="AH418" s="506"/>
      <c r="AI418" s="502"/>
    </row>
    <row r="419" spans="1:35" s="500" customFormat="1" x14ac:dyDescent="0.25">
      <c r="A419" s="491"/>
      <c r="B419" s="493"/>
      <c r="C419" s="494"/>
      <c r="D419" s="494"/>
      <c r="E419" s="495"/>
      <c r="F419" s="495"/>
      <c r="G419" s="496"/>
      <c r="H419" s="496"/>
      <c r="I419" s="496"/>
      <c r="J419" s="496"/>
      <c r="K419" s="496"/>
      <c r="L419" s="496"/>
      <c r="M419" s="496"/>
      <c r="N419" s="496"/>
      <c r="O419" s="499"/>
      <c r="P419" s="496"/>
      <c r="Q419" s="497"/>
      <c r="R419" s="498"/>
      <c r="S419" s="498"/>
      <c r="T419" s="498"/>
      <c r="U419" s="498"/>
      <c r="V419" s="498"/>
      <c r="W419" s="498"/>
      <c r="X419" s="451" t="s">
        <v>61</v>
      </c>
      <c r="Y419" s="452" t="s">
        <v>63</v>
      </c>
      <c r="Z419" s="453" t="s">
        <v>16</v>
      </c>
      <c r="AA419" s="453" t="s">
        <v>29</v>
      </c>
      <c r="AB419" s="542" t="s">
        <v>877</v>
      </c>
      <c r="AC419" s="482">
        <v>610</v>
      </c>
      <c r="AD419" s="669">
        <v>570</v>
      </c>
      <c r="AE419" s="669">
        <v>0</v>
      </c>
      <c r="AF419" s="707">
        <v>0</v>
      </c>
      <c r="AG419" s="506"/>
      <c r="AH419" s="506"/>
      <c r="AI419" s="502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9" t="s">
        <v>498</v>
      </c>
      <c r="Y420" s="452" t="s">
        <v>63</v>
      </c>
      <c r="Z420" s="453" t="s">
        <v>16</v>
      </c>
      <c r="AA420" s="453" t="s">
        <v>29</v>
      </c>
      <c r="AB420" s="542" t="s">
        <v>313</v>
      </c>
      <c r="AC420" s="482"/>
      <c r="AD420" s="669">
        <f>AD421+AD426</f>
        <v>30948.6</v>
      </c>
      <c r="AE420" s="669">
        <f>AE421+AE426</f>
        <v>29355.8</v>
      </c>
      <c r="AF420" s="669">
        <f>AF421+AF426</f>
        <v>29511.7</v>
      </c>
      <c r="AG420" s="180"/>
      <c r="AH420" s="180"/>
      <c r="AI420" s="147"/>
    </row>
    <row r="421" spans="1:35" s="103" customFormat="1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59" t="s">
        <v>314</v>
      </c>
      <c r="Y421" s="452" t="s">
        <v>63</v>
      </c>
      <c r="Z421" s="453" t="s">
        <v>16</v>
      </c>
      <c r="AA421" s="453" t="s">
        <v>29</v>
      </c>
      <c r="AB421" s="542" t="s">
        <v>315</v>
      </c>
      <c r="AC421" s="482"/>
      <c r="AD421" s="669">
        <f t="shared" ref="AD421:AF421" si="130">AD422</f>
        <v>30548.6</v>
      </c>
      <c r="AE421" s="633">
        <f t="shared" si="130"/>
        <v>29355.8</v>
      </c>
      <c r="AF421" s="643">
        <f t="shared" si="130"/>
        <v>29511.7</v>
      </c>
      <c r="AG421" s="180"/>
      <c r="AH421" s="180"/>
      <c r="AI421" s="147"/>
    </row>
    <row r="422" spans="1:35" s="103" customFormat="1" ht="31.5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662" t="s">
        <v>252</v>
      </c>
      <c r="Y422" s="452" t="s">
        <v>63</v>
      </c>
      <c r="Z422" s="453" t="s">
        <v>16</v>
      </c>
      <c r="AA422" s="453" t="s">
        <v>29</v>
      </c>
      <c r="AB422" s="542" t="s">
        <v>253</v>
      </c>
      <c r="AC422" s="482"/>
      <c r="AD422" s="669">
        <f t="shared" ref="AD422:AF423" si="131">AD423</f>
        <v>30548.6</v>
      </c>
      <c r="AE422" s="633">
        <f t="shared" si="131"/>
        <v>29355.8</v>
      </c>
      <c r="AF422" s="643">
        <f t="shared" si="131"/>
        <v>29511.7</v>
      </c>
      <c r="AG422" s="180"/>
      <c r="AH422" s="180"/>
      <c r="AI422" s="147"/>
    </row>
    <row r="423" spans="1:35" s="103" customFormat="1" ht="31.5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253</v>
      </c>
      <c r="AC423" s="454">
        <v>600</v>
      </c>
      <c r="AD423" s="669">
        <f t="shared" si="131"/>
        <v>30548.6</v>
      </c>
      <c r="AE423" s="633">
        <f t="shared" si="131"/>
        <v>29355.8</v>
      </c>
      <c r="AF423" s="643">
        <f t="shared" si="131"/>
        <v>29511.7</v>
      </c>
      <c r="AG423" s="180"/>
      <c r="AH423" s="180"/>
      <c r="AI423" s="147"/>
    </row>
    <row r="424" spans="1:35" s="103" customFormat="1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253</v>
      </c>
      <c r="AC424" s="454">
        <v>610</v>
      </c>
      <c r="AD424" s="671">
        <v>30548.6</v>
      </c>
      <c r="AE424" s="635">
        <v>29355.8</v>
      </c>
      <c r="AF424" s="644">
        <v>29511.7</v>
      </c>
      <c r="AG424" s="206"/>
      <c r="AH424" s="206"/>
      <c r="AI424" s="147"/>
    </row>
    <row r="425" spans="1:35" s="500" customFormat="1" ht="35.25" customHeight="1" x14ac:dyDescent="0.25">
      <c r="A425" s="491"/>
      <c r="B425" s="493"/>
      <c r="C425" s="494"/>
      <c r="D425" s="494"/>
      <c r="E425" s="495"/>
      <c r="F425" s="495"/>
      <c r="G425" s="496"/>
      <c r="H425" s="496"/>
      <c r="I425" s="496"/>
      <c r="J425" s="496"/>
      <c r="K425" s="496"/>
      <c r="L425" s="492"/>
      <c r="M425" s="496"/>
      <c r="N425" s="492"/>
      <c r="O425" s="499"/>
      <c r="P425" s="496"/>
      <c r="Q425" s="497"/>
      <c r="R425" s="498"/>
      <c r="S425" s="498"/>
      <c r="T425" s="498"/>
      <c r="U425" s="498"/>
      <c r="V425" s="498"/>
      <c r="W425" s="498"/>
      <c r="X425" s="451" t="s">
        <v>800</v>
      </c>
      <c r="Y425" s="452" t="s">
        <v>63</v>
      </c>
      <c r="Z425" s="453" t="s">
        <v>16</v>
      </c>
      <c r="AA425" s="453" t="s">
        <v>29</v>
      </c>
      <c r="AB425" s="542" t="s">
        <v>803</v>
      </c>
      <c r="AC425" s="477"/>
      <c r="AD425" s="671">
        <f>AD426</f>
        <v>400</v>
      </c>
      <c r="AE425" s="671">
        <f t="shared" ref="AE425:AF427" si="132">AE426</f>
        <v>0</v>
      </c>
      <c r="AF425" s="671">
        <f t="shared" si="132"/>
        <v>0</v>
      </c>
      <c r="AG425" s="206"/>
      <c r="AH425" s="206"/>
      <c r="AI425" s="502"/>
    </row>
    <row r="426" spans="1:35" s="500" customFormat="1" x14ac:dyDescent="0.25">
      <c r="A426" s="491"/>
      <c r="B426" s="493"/>
      <c r="C426" s="494"/>
      <c r="D426" s="494"/>
      <c r="E426" s="495"/>
      <c r="F426" s="495"/>
      <c r="G426" s="496"/>
      <c r="H426" s="496"/>
      <c r="I426" s="496"/>
      <c r="J426" s="496"/>
      <c r="K426" s="496"/>
      <c r="L426" s="492"/>
      <c r="M426" s="496"/>
      <c r="N426" s="492"/>
      <c r="O426" s="499"/>
      <c r="P426" s="496"/>
      <c r="Q426" s="497"/>
      <c r="R426" s="498"/>
      <c r="S426" s="498"/>
      <c r="T426" s="498"/>
      <c r="U426" s="498"/>
      <c r="V426" s="498"/>
      <c r="W426" s="498"/>
      <c r="X426" s="451" t="s">
        <v>801</v>
      </c>
      <c r="Y426" s="452" t="s">
        <v>63</v>
      </c>
      <c r="Z426" s="453" t="s">
        <v>16</v>
      </c>
      <c r="AA426" s="453" t="s">
        <v>29</v>
      </c>
      <c r="AB426" s="542" t="s">
        <v>802</v>
      </c>
      <c r="AC426" s="706"/>
      <c r="AD426" s="671">
        <f>AD427</f>
        <v>400</v>
      </c>
      <c r="AE426" s="671">
        <f t="shared" si="132"/>
        <v>0</v>
      </c>
      <c r="AF426" s="671">
        <f t="shared" si="132"/>
        <v>0</v>
      </c>
      <c r="AG426" s="206"/>
      <c r="AH426" s="206"/>
      <c r="AI426" s="502"/>
    </row>
    <row r="427" spans="1:35" s="500" customFormat="1" ht="31.5" x14ac:dyDescent="0.25">
      <c r="A427" s="491"/>
      <c r="B427" s="493"/>
      <c r="C427" s="494"/>
      <c r="D427" s="494"/>
      <c r="E427" s="495"/>
      <c r="F427" s="495"/>
      <c r="G427" s="496"/>
      <c r="H427" s="496"/>
      <c r="I427" s="496"/>
      <c r="J427" s="496"/>
      <c r="K427" s="496"/>
      <c r="L427" s="492"/>
      <c r="M427" s="496"/>
      <c r="N427" s="492"/>
      <c r="O427" s="499"/>
      <c r="P427" s="496"/>
      <c r="Q427" s="497"/>
      <c r="R427" s="498"/>
      <c r="S427" s="498"/>
      <c r="T427" s="498"/>
      <c r="U427" s="498"/>
      <c r="V427" s="498"/>
      <c r="W427" s="498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802</v>
      </c>
      <c r="AC427" s="453">
        <v>600</v>
      </c>
      <c r="AD427" s="671">
        <f>AD428</f>
        <v>400</v>
      </c>
      <c r="AE427" s="671">
        <f t="shared" si="132"/>
        <v>0</v>
      </c>
      <c r="AF427" s="671">
        <f t="shared" si="132"/>
        <v>0</v>
      </c>
      <c r="AG427" s="206"/>
      <c r="AH427" s="206"/>
      <c r="AI427" s="502"/>
    </row>
    <row r="428" spans="1:35" s="500" customFormat="1" x14ac:dyDescent="0.25">
      <c r="A428" s="491"/>
      <c r="B428" s="493"/>
      <c r="C428" s="494"/>
      <c r="D428" s="494"/>
      <c r="E428" s="495"/>
      <c r="F428" s="495"/>
      <c r="G428" s="496"/>
      <c r="H428" s="496"/>
      <c r="I428" s="496"/>
      <c r="J428" s="496"/>
      <c r="K428" s="496"/>
      <c r="L428" s="492"/>
      <c r="M428" s="496"/>
      <c r="N428" s="492"/>
      <c r="O428" s="499"/>
      <c r="P428" s="496"/>
      <c r="Q428" s="497"/>
      <c r="R428" s="498"/>
      <c r="S428" s="498"/>
      <c r="T428" s="498"/>
      <c r="U428" s="498"/>
      <c r="V428" s="498"/>
      <c r="W428" s="498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802</v>
      </c>
      <c r="AC428" s="453">
        <v>610</v>
      </c>
      <c r="AD428" s="671">
        <f>3270-570-2300</f>
        <v>400</v>
      </c>
      <c r="AE428" s="635">
        <v>0</v>
      </c>
      <c r="AF428" s="644">
        <v>0</v>
      </c>
      <c r="AG428" s="206"/>
      <c r="AH428" s="206"/>
      <c r="AI428" s="502"/>
    </row>
    <row r="429" spans="1:35" s="103" customFormat="1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59" t="s">
        <v>490</v>
      </c>
      <c r="Y429" s="452" t="s">
        <v>63</v>
      </c>
      <c r="Z429" s="453" t="s">
        <v>16</v>
      </c>
      <c r="AA429" s="453" t="s">
        <v>29</v>
      </c>
      <c r="AB429" s="542" t="s">
        <v>140</v>
      </c>
      <c r="AC429" s="572"/>
      <c r="AD429" s="671">
        <f>AD430+AD440</f>
        <v>39268.299999999996</v>
      </c>
      <c r="AE429" s="671">
        <f t="shared" ref="AE429:AF429" si="133">AE430+AE440</f>
        <v>37183.199999999997</v>
      </c>
      <c r="AF429" s="671">
        <f t="shared" si="133"/>
        <v>37369.700000000004</v>
      </c>
      <c r="AG429" s="206"/>
      <c r="AH429" s="206"/>
      <c r="AI429" s="147"/>
    </row>
    <row r="430" spans="1:35" s="103" customFormat="1" ht="31.5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59" t="s">
        <v>254</v>
      </c>
      <c r="Y430" s="452" t="s">
        <v>63</v>
      </c>
      <c r="Z430" s="453" t="s">
        <v>16</v>
      </c>
      <c r="AA430" s="453" t="s">
        <v>29</v>
      </c>
      <c r="AB430" s="542" t="s">
        <v>141</v>
      </c>
      <c r="AC430" s="454"/>
      <c r="AD430" s="669">
        <f>AD431+AD434+AD437</f>
        <v>38268.299999999996</v>
      </c>
      <c r="AE430" s="633">
        <f>AE431+AE434+AE437</f>
        <v>37183.199999999997</v>
      </c>
      <c r="AF430" s="643">
        <f>AF431+AF434+AF437</f>
        <v>37369.700000000004</v>
      </c>
      <c r="AG430" s="180"/>
      <c r="AH430" s="180"/>
      <c r="AI430" s="147"/>
    </row>
    <row r="431" spans="1:35" s="103" customFormat="1" ht="31.5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662" t="s">
        <v>748</v>
      </c>
      <c r="Y431" s="452" t="s">
        <v>63</v>
      </c>
      <c r="Z431" s="453" t="s">
        <v>16</v>
      </c>
      <c r="AA431" s="453" t="s">
        <v>29</v>
      </c>
      <c r="AB431" s="542" t="s">
        <v>255</v>
      </c>
      <c r="AC431" s="454"/>
      <c r="AD431" s="669">
        <f t="shared" ref="AD431:AF432" si="134">AD432</f>
        <v>1000</v>
      </c>
      <c r="AE431" s="633">
        <f t="shared" si="134"/>
        <v>1000</v>
      </c>
      <c r="AF431" s="643">
        <f t="shared" si="134"/>
        <v>1000</v>
      </c>
      <c r="AG431" s="180"/>
      <c r="AH431" s="180"/>
      <c r="AI431" s="147"/>
    </row>
    <row r="432" spans="1:35" s="103" customFormat="1" ht="31.5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51" t="s">
        <v>60</v>
      </c>
      <c r="Y432" s="452" t="s">
        <v>63</v>
      </c>
      <c r="Z432" s="453" t="s">
        <v>16</v>
      </c>
      <c r="AA432" s="453" t="s">
        <v>29</v>
      </c>
      <c r="AB432" s="542" t="s">
        <v>255</v>
      </c>
      <c r="AC432" s="454">
        <v>600</v>
      </c>
      <c r="AD432" s="669">
        <f t="shared" si="134"/>
        <v>1000</v>
      </c>
      <c r="AE432" s="633">
        <f t="shared" si="134"/>
        <v>1000</v>
      </c>
      <c r="AF432" s="643">
        <f t="shared" si="134"/>
        <v>1000</v>
      </c>
      <c r="AG432" s="180"/>
      <c r="AH432" s="180"/>
      <c r="AI432" s="147"/>
    </row>
    <row r="433" spans="1:35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51" t="s">
        <v>61</v>
      </c>
      <c r="Y433" s="452" t="s">
        <v>63</v>
      </c>
      <c r="Z433" s="453" t="s">
        <v>16</v>
      </c>
      <c r="AA433" s="453" t="s">
        <v>29</v>
      </c>
      <c r="AB433" s="542" t="s">
        <v>255</v>
      </c>
      <c r="AC433" s="454">
        <v>610</v>
      </c>
      <c r="AD433" s="669">
        <v>1000</v>
      </c>
      <c r="AE433" s="633">
        <v>1000</v>
      </c>
      <c r="AF433" s="643">
        <v>1000</v>
      </c>
      <c r="AG433" s="180"/>
      <c r="AH433" s="180"/>
      <c r="AI433" s="147"/>
    </row>
    <row r="434" spans="1:35" s="103" customFormat="1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51" t="s">
        <v>256</v>
      </c>
      <c r="Y434" s="452" t="s">
        <v>63</v>
      </c>
      <c r="Z434" s="453" t="s">
        <v>16</v>
      </c>
      <c r="AA434" s="453" t="s">
        <v>29</v>
      </c>
      <c r="AB434" s="542" t="s">
        <v>257</v>
      </c>
      <c r="AC434" s="454"/>
      <c r="AD434" s="669">
        <f t="shared" ref="AD434:AF435" si="135">AD435</f>
        <v>36893.599999999999</v>
      </c>
      <c r="AE434" s="633">
        <f t="shared" si="135"/>
        <v>35800.5</v>
      </c>
      <c r="AF434" s="643">
        <f t="shared" si="135"/>
        <v>35991.4</v>
      </c>
      <c r="AG434" s="180"/>
      <c r="AH434" s="180"/>
      <c r="AI434" s="147"/>
    </row>
    <row r="435" spans="1:35" s="103" customFormat="1" ht="31.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51" t="s">
        <v>60</v>
      </c>
      <c r="Y435" s="452" t="s">
        <v>63</v>
      </c>
      <c r="Z435" s="453" t="s">
        <v>16</v>
      </c>
      <c r="AA435" s="453" t="s">
        <v>29</v>
      </c>
      <c r="AB435" s="542" t="s">
        <v>257</v>
      </c>
      <c r="AC435" s="454">
        <v>600</v>
      </c>
      <c r="AD435" s="669">
        <f t="shared" si="135"/>
        <v>36893.599999999999</v>
      </c>
      <c r="AE435" s="633">
        <f t="shared" si="135"/>
        <v>35800.5</v>
      </c>
      <c r="AF435" s="643">
        <f t="shared" si="135"/>
        <v>35991.4</v>
      </c>
      <c r="AG435" s="180"/>
      <c r="AH435" s="180"/>
      <c r="AI435" s="147"/>
    </row>
    <row r="436" spans="1:35" s="103" customForma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51" t="s">
        <v>61</v>
      </c>
      <c r="Y436" s="452" t="s">
        <v>63</v>
      </c>
      <c r="Z436" s="453" t="s">
        <v>16</v>
      </c>
      <c r="AA436" s="453" t="s">
        <v>29</v>
      </c>
      <c r="AB436" s="542" t="s">
        <v>257</v>
      </c>
      <c r="AC436" s="454">
        <v>610</v>
      </c>
      <c r="AD436" s="670">
        <v>36893.599999999999</v>
      </c>
      <c r="AE436" s="633">
        <v>35800.5</v>
      </c>
      <c r="AF436" s="643">
        <v>35991.4</v>
      </c>
      <c r="AG436" s="180"/>
      <c r="AH436" s="180"/>
      <c r="AI436" s="147"/>
    </row>
    <row r="437" spans="1:35" s="103" customFormat="1" ht="31.5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651" t="s">
        <v>500</v>
      </c>
      <c r="Y437" s="452" t="s">
        <v>63</v>
      </c>
      <c r="Z437" s="453" t="s">
        <v>16</v>
      </c>
      <c r="AA437" s="453" t="s">
        <v>29</v>
      </c>
      <c r="AB437" s="542" t="s">
        <v>398</v>
      </c>
      <c r="AC437" s="454"/>
      <c r="AD437" s="669">
        <f t="shared" ref="AD437:AF438" si="136">AD438</f>
        <v>374.70000000000005</v>
      </c>
      <c r="AE437" s="633">
        <f t="shared" si="136"/>
        <v>382.7</v>
      </c>
      <c r="AF437" s="643">
        <f t="shared" si="136"/>
        <v>378.3</v>
      </c>
      <c r="AG437" s="180"/>
      <c r="AH437" s="180"/>
      <c r="AI437" s="147"/>
    </row>
    <row r="438" spans="1:35" s="103" customFormat="1" ht="31.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651" t="s">
        <v>60</v>
      </c>
      <c r="Y438" s="452" t="s">
        <v>63</v>
      </c>
      <c r="Z438" s="453" t="s">
        <v>16</v>
      </c>
      <c r="AA438" s="453" t="s">
        <v>29</v>
      </c>
      <c r="AB438" s="542" t="s">
        <v>398</v>
      </c>
      <c r="AC438" s="454">
        <v>600</v>
      </c>
      <c r="AD438" s="669">
        <f t="shared" si="136"/>
        <v>374.70000000000005</v>
      </c>
      <c r="AE438" s="633">
        <f t="shared" si="136"/>
        <v>382.7</v>
      </c>
      <c r="AF438" s="643">
        <f t="shared" si="136"/>
        <v>378.3</v>
      </c>
      <c r="AG438" s="180"/>
      <c r="AH438" s="180"/>
      <c r="AI438" s="147"/>
    </row>
    <row r="439" spans="1:35" s="103" customFormat="1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73"/>
      <c r="M439" s="81"/>
      <c r="N439" s="73"/>
      <c r="O439" s="92"/>
      <c r="P439" s="81"/>
      <c r="Q439" s="83"/>
      <c r="R439" s="87"/>
      <c r="S439" s="87"/>
      <c r="T439" s="87"/>
      <c r="U439" s="87"/>
      <c r="V439" s="87"/>
      <c r="W439" s="87"/>
      <c r="X439" s="651" t="s">
        <v>61</v>
      </c>
      <c r="Y439" s="452" t="s">
        <v>63</v>
      </c>
      <c r="Z439" s="453" t="s">
        <v>16</v>
      </c>
      <c r="AA439" s="453" t="s">
        <v>29</v>
      </c>
      <c r="AB439" s="542" t="s">
        <v>398</v>
      </c>
      <c r="AC439" s="454">
        <v>610</v>
      </c>
      <c r="AD439" s="669">
        <f>307.6+67.1</f>
        <v>374.70000000000005</v>
      </c>
      <c r="AE439" s="634">
        <f>314.2+68.5</f>
        <v>382.7</v>
      </c>
      <c r="AF439" s="643">
        <f>310.6+67.7</f>
        <v>378.3</v>
      </c>
      <c r="AG439" s="180"/>
      <c r="AH439" s="180"/>
      <c r="AI439" s="147"/>
    </row>
    <row r="440" spans="1:35" s="500" customFormat="1" ht="32.25" customHeight="1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651" t="s">
        <v>868</v>
      </c>
      <c r="Y440" s="452" t="s">
        <v>63</v>
      </c>
      <c r="Z440" s="453" t="s">
        <v>16</v>
      </c>
      <c r="AA440" s="453" t="s">
        <v>29</v>
      </c>
      <c r="AB440" s="542" t="s">
        <v>870</v>
      </c>
      <c r="AC440" s="454"/>
      <c r="AD440" s="669">
        <f>AD441</f>
        <v>1000</v>
      </c>
      <c r="AE440" s="669">
        <f t="shared" ref="AE440:AF442" si="137">AE441</f>
        <v>0</v>
      </c>
      <c r="AF440" s="669">
        <f t="shared" si="137"/>
        <v>0</v>
      </c>
      <c r="AG440" s="506"/>
      <c r="AH440" s="506"/>
      <c r="AI440" s="502"/>
    </row>
    <row r="441" spans="1:35" s="500" customForma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651" t="s">
        <v>869</v>
      </c>
      <c r="Y441" s="452" t="s">
        <v>63</v>
      </c>
      <c r="Z441" s="453" t="s">
        <v>16</v>
      </c>
      <c r="AA441" s="453" t="s">
        <v>29</v>
      </c>
      <c r="AB441" s="542" t="s">
        <v>871</v>
      </c>
      <c r="AC441" s="454"/>
      <c r="AD441" s="669">
        <f>AD442</f>
        <v>1000</v>
      </c>
      <c r="AE441" s="669">
        <f t="shared" si="137"/>
        <v>0</v>
      </c>
      <c r="AF441" s="669">
        <f t="shared" si="137"/>
        <v>0</v>
      </c>
      <c r="AG441" s="506"/>
      <c r="AH441" s="506"/>
      <c r="AI441" s="502"/>
    </row>
    <row r="442" spans="1:35" s="500" customFormat="1" ht="31.5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651" t="s">
        <v>60</v>
      </c>
      <c r="Y442" s="452" t="s">
        <v>63</v>
      </c>
      <c r="Z442" s="453" t="s">
        <v>16</v>
      </c>
      <c r="AA442" s="453" t="s">
        <v>29</v>
      </c>
      <c r="AB442" s="542" t="s">
        <v>871</v>
      </c>
      <c r="AC442" s="454">
        <v>600</v>
      </c>
      <c r="AD442" s="669">
        <f>AD443</f>
        <v>1000</v>
      </c>
      <c r="AE442" s="669">
        <f t="shared" si="137"/>
        <v>0</v>
      </c>
      <c r="AF442" s="669">
        <f t="shared" si="137"/>
        <v>0</v>
      </c>
      <c r="AG442" s="506"/>
      <c r="AH442" s="506"/>
      <c r="AI442" s="502"/>
    </row>
    <row r="443" spans="1:35" s="500" customFormat="1" x14ac:dyDescent="0.25">
      <c r="A443" s="491"/>
      <c r="B443" s="493"/>
      <c r="C443" s="494"/>
      <c r="D443" s="494"/>
      <c r="E443" s="495"/>
      <c r="F443" s="495"/>
      <c r="G443" s="496"/>
      <c r="H443" s="496"/>
      <c r="I443" s="496"/>
      <c r="J443" s="496"/>
      <c r="K443" s="496"/>
      <c r="L443" s="492"/>
      <c r="M443" s="496"/>
      <c r="N443" s="492"/>
      <c r="O443" s="499"/>
      <c r="P443" s="496"/>
      <c r="Q443" s="497"/>
      <c r="R443" s="498"/>
      <c r="S443" s="498"/>
      <c r="T443" s="498"/>
      <c r="U443" s="498"/>
      <c r="V443" s="498"/>
      <c r="W443" s="498"/>
      <c r="X443" s="651" t="s">
        <v>61</v>
      </c>
      <c r="Y443" s="452" t="s">
        <v>63</v>
      </c>
      <c r="Z443" s="453" t="s">
        <v>16</v>
      </c>
      <c r="AA443" s="453" t="s">
        <v>29</v>
      </c>
      <c r="AB443" s="542" t="s">
        <v>871</v>
      </c>
      <c r="AC443" s="454">
        <v>610</v>
      </c>
      <c r="AD443" s="669">
        <v>1000</v>
      </c>
      <c r="AE443" s="670">
        <v>0</v>
      </c>
      <c r="AF443" s="707">
        <v>0</v>
      </c>
      <c r="AG443" s="506"/>
      <c r="AH443" s="506"/>
      <c r="AI443" s="502"/>
    </row>
    <row r="444" spans="1:35" s="103" customFormat="1" ht="31.5" x14ac:dyDescent="0.25">
      <c r="A444" s="47"/>
      <c r="B444" s="78"/>
      <c r="C444" s="79"/>
      <c r="D444" s="79"/>
      <c r="E444" s="80"/>
      <c r="F444" s="80"/>
      <c r="G444" s="81"/>
      <c r="H444" s="81"/>
      <c r="I444" s="81"/>
      <c r="J444" s="81"/>
      <c r="K444" s="81"/>
      <c r="L444" s="73"/>
      <c r="M444" s="81"/>
      <c r="N444" s="73"/>
      <c r="O444" s="92"/>
      <c r="P444" s="81"/>
      <c r="Q444" s="83"/>
      <c r="R444" s="87"/>
      <c r="S444" s="87"/>
      <c r="T444" s="87"/>
      <c r="U444" s="87"/>
      <c r="V444" s="87"/>
      <c r="W444" s="87"/>
      <c r="X444" s="459" t="s">
        <v>491</v>
      </c>
      <c r="Y444" s="452" t="s">
        <v>63</v>
      </c>
      <c r="Z444" s="453" t="s">
        <v>16</v>
      </c>
      <c r="AA444" s="453" t="s">
        <v>29</v>
      </c>
      <c r="AB444" s="542" t="s">
        <v>258</v>
      </c>
      <c r="AC444" s="454"/>
      <c r="AD444" s="669">
        <f>AD445+AD466+AD462</f>
        <v>126570.8</v>
      </c>
      <c r="AE444" s="669">
        <f>AE445+AE466+AE462</f>
        <v>80085</v>
      </c>
      <c r="AF444" s="669">
        <f>AF445+AF466+AF462</f>
        <v>64032.5</v>
      </c>
      <c r="AG444" s="180"/>
      <c r="AH444" s="180"/>
      <c r="AI444" s="147"/>
    </row>
    <row r="445" spans="1:35" s="103" customFormat="1" x14ac:dyDescent="0.25">
      <c r="A445" s="47"/>
      <c r="B445" s="78"/>
      <c r="C445" s="79"/>
      <c r="D445" s="79"/>
      <c r="E445" s="80"/>
      <c r="F445" s="80"/>
      <c r="G445" s="81"/>
      <c r="H445" s="81"/>
      <c r="I445" s="81"/>
      <c r="J445" s="81"/>
      <c r="K445" s="81"/>
      <c r="L445" s="73"/>
      <c r="M445" s="81"/>
      <c r="N445" s="73"/>
      <c r="O445" s="92"/>
      <c r="P445" s="81"/>
      <c r="Q445" s="83"/>
      <c r="R445" s="87"/>
      <c r="S445" s="87"/>
      <c r="T445" s="87"/>
      <c r="U445" s="87"/>
      <c r="V445" s="87"/>
      <c r="W445" s="87"/>
      <c r="X445" s="459" t="s">
        <v>352</v>
      </c>
      <c r="Y445" s="452" t="s">
        <v>63</v>
      </c>
      <c r="Z445" s="453" t="s">
        <v>16</v>
      </c>
      <c r="AA445" s="453" t="s">
        <v>29</v>
      </c>
      <c r="AB445" s="542" t="s">
        <v>492</v>
      </c>
      <c r="AC445" s="454"/>
      <c r="AD445" s="669">
        <f>AD455+AD446</f>
        <v>119130.3</v>
      </c>
      <c r="AE445" s="633">
        <f>AE455+AE446</f>
        <v>79739.5</v>
      </c>
      <c r="AF445" s="643">
        <f>AF455+AF446</f>
        <v>64032.5</v>
      </c>
      <c r="AG445" s="180"/>
      <c r="AH445" s="180"/>
      <c r="AI445" s="147"/>
    </row>
    <row r="446" spans="1:35" s="103" customFormat="1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92"/>
      <c r="P446" s="81"/>
      <c r="Q446" s="83"/>
      <c r="R446" s="87"/>
      <c r="S446" s="87"/>
      <c r="T446" s="87"/>
      <c r="U446" s="87"/>
      <c r="V446" s="87"/>
      <c r="W446" s="87"/>
      <c r="X446" s="662" t="s">
        <v>259</v>
      </c>
      <c r="Y446" s="452" t="s">
        <v>63</v>
      </c>
      <c r="Z446" s="453" t="s">
        <v>16</v>
      </c>
      <c r="AA446" s="453" t="s">
        <v>29</v>
      </c>
      <c r="AB446" s="542" t="s">
        <v>551</v>
      </c>
      <c r="AC446" s="454"/>
      <c r="AD446" s="669">
        <f>AD447+AD452</f>
        <v>25585</v>
      </c>
      <c r="AE446" s="633">
        <f t="shared" ref="AE446:AF446" si="138">AE447+AE452</f>
        <v>130</v>
      </c>
      <c r="AF446" s="643">
        <f t="shared" si="138"/>
        <v>0</v>
      </c>
      <c r="AG446" s="180"/>
      <c r="AH446" s="180"/>
      <c r="AI446" s="147"/>
    </row>
    <row r="447" spans="1:35" s="103" customFormat="1" ht="31.5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92"/>
      <c r="P447" s="81"/>
      <c r="Q447" s="83"/>
      <c r="R447" s="87"/>
      <c r="S447" s="87"/>
      <c r="T447" s="87"/>
      <c r="U447" s="87"/>
      <c r="V447" s="87"/>
      <c r="W447" s="87"/>
      <c r="X447" s="451" t="s">
        <v>260</v>
      </c>
      <c r="Y447" s="452" t="s">
        <v>63</v>
      </c>
      <c r="Z447" s="453" t="s">
        <v>16</v>
      </c>
      <c r="AA447" s="453" t="s">
        <v>29</v>
      </c>
      <c r="AB447" s="542" t="s">
        <v>552</v>
      </c>
      <c r="AC447" s="454"/>
      <c r="AD447" s="669">
        <f>AD450+AD448</f>
        <v>25050</v>
      </c>
      <c r="AE447" s="633">
        <f t="shared" ref="AE447:AF447" si="139">AE450+AE448</f>
        <v>130</v>
      </c>
      <c r="AF447" s="643">
        <f t="shared" si="139"/>
        <v>0</v>
      </c>
      <c r="AG447" s="180"/>
      <c r="AH447" s="180"/>
      <c r="AI447" s="147"/>
    </row>
    <row r="448" spans="1:35" s="500" customFormat="1" x14ac:dyDescent="0.25">
      <c r="A448" s="491"/>
      <c r="B448" s="493"/>
      <c r="C448" s="494"/>
      <c r="D448" s="494"/>
      <c r="E448" s="495"/>
      <c r="F448" s="495"/>
      <c r="G448" s="496"/>
      <c r="H448" s="496"/>
      <c r="I448" s="496"/>
      <c r="J448" s="496"/>
      <c r="K448" s="496"/>
      <c r="L448" s="492"/>
      <c r="M448" s="496"/>
      <c r="N448" s="492"/>
      <c r="O448" s="499"/>
      <c r="P448" s="496"/>
      <c r="Q448" s="497"/>
      <c r="R448" s="498"/>
      <c r="S448" s="498"/>
      <c r="T448" s="498"/>
      <c r="U448" s="498"/>
      <c r="V448" s="498"/>
      <c r="W448" s="498"/>
      <c r="X448" s="651" t="s">
        <v>120</v>
      </c>
      <c r="Y448" s="452" t="s">
        <v>63</v>
      </c>
      <c r="Z448" s="453" t="s">
        <v>16</v>
      </c>
      <c r="AA448" s="453" t="s">
        <v>29</v>
      </c>
      <c r="AB448" s="542" t="s">
        <v>552</v>
      </c>
      <c r="AC448" s="454">
        <v>200</v>
      </c>
      <c r="AD448" s="669">
        <f>AD449</f>
        <v>6030</v>
      </c>
      <c r="AE448" s="633">
        <f t="shared" ref="AE448:AF448" si="140">AE449</f>
        <v>130</v>
      </c>
      <c r="AF448" s="643">
        <f t="shared" si="140"/>
        <v>0</v>
      </c>
      <c r="AG448" s="506"/>
      <c r="AH448" s="506"/>
      <c r="AI448" s="502"/>
    </row>
    <row r="449" spans="1:35" s="500" customFormat="1" ht="31.5" x14ac:dyDescent="0.25">
      <c r="A449" s="491"/>
      <c r="B449" s="493"/>
      <c r="C449" s="494"/>
      <c r="D449" s="494"/>
      <c r="E449" s="495"/>
      <c r="F449" s="495"/>
      <c r="G449" s="496"/>
      <c r="H449" s="496"/>
      <c r="I449" s="496"/>
      <c r="J449" s="496"/>
      <c r="K449" s="496"/>
      <c r="L449" s="492"/>
      <c r="M449" s="496"/>
      <c r="N449" s="492"/>
      <c r="O449" s="499"/>
      <c r="P449" s="496"/>
      <c r="Q449" s="497"/>
      <c r="R449" s="498"/>
      <c r="S449" s="498"/>
      <c r="T449" s="498"/>
      <c r="U449" s="498"/>
      <c r="V449" s="498"/>
      <c r="W449" s="498"/>
      <c r="X449" s="651" t="s">
        <v>52</v>
      </c>
      <c r="Y449" s="452" t="s">
        <v>63</v>
      </c>
      <c r="Z449" s="453" t="s">
        <v>16</v>
      </c>
      <c r="AA449" s="453" t="s">
        <v>29</v>
      </c>
      <c r="AB449" s="542" t="s">
        <v>552</v>
      </c>
      <c r="AC449" s="454">
        <v>240</v>
      </c>
      <c r="AD449" s="669">
        <f>130+600+4060.5+500-4060.5+300+8735-8735+4000+500</f>
        <v>6030</v>
      </c>
      <c r="AE449" s="633">
        <v>130</v>
      </c>
      <c r="AF449" s="643">
        <v>0</v>
      </c>
      <c r="AG449" s="506"/>
      <c r="AH449" s="506"/>
      <c r="AI449" s="502"/>
    </row>
    <row r="450" spans="1:35" s="103" customFormat="1" ht="31.5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92"/>
      <c r="P450" s="81"/>
      <c r="Q450" s="83"/>
      <c r="R450" s="87"/>
      <c r="S450" s="87"/>
      <c r="T450" s="87"/>
      <c r="U450" s="87"/>
      <c r="V450" s="87"/>
      <c r="W450" s="87"/>
      <c r="X450" s="451" t="s">
        <v>60</v>
      </c>
      <c r="Y450" s="452" t="s">
        <v>63</v>
      </c>
      <c r="Z450" s="453" t="s">
        <v>16</v>
      </c>
      <c r="AA450" s="453" t="s">
        <v>29</v>
      </c>
      <c r="AB450" s="542" t="s">
        <v>552</v>
      </c>
      <c r="AC450" s="454">
        <v>600</v>
      </c>
      <c r="AD450" s="669">
        <f>AD451</f>
        <v>19020</v>
      </c>
      <c r="AE450" s="633">
        <f>AE451</f>
        <v>0</v>
      </c>
      <c r="AF450" s="643">
        <f>AF451</f>
        <v>0</v>
      </c>
      <c r="AG450" s="180"/>
      <c r="AH450" s="180"/>
      <c r="AI450" s="147"/>
    </row>
    <row r="451" spans="1:35" s="103" customFormat="1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92"/>
      <c r="P451" s="81"/>
      <c r="Q451" s="83"/>
      <c r="R451" s="87"/>
      <c r="S451" s="87"/>
      <c r="T451" s="87"/>
      <c r="U451" s="87"/>
      <c r="V451" s="87"/>
      <c r="W451" s="87"/>
      <c r="X451" s="451" t="s">
        <v>61</v>
      </c>
      <c r="Y451" s="452" t="s">
        <v>63</v>
      </c>
      <c r="Z451" s="453" t="s">
        <v>16</v>
      </c>
      <c r="AA451" s="453" t="s">
        <v>29</v>
      </c>
      <c r="AB451" s="542" t="s">
        <v>552</v>
      </c>
      <c r="AC451" s="454">
        <v>610</v>
      </c>
      <c r="AD451" s="669">
        <f>3349.5-600+4060.5+3475+8735</f>
        <v>19020</v>
      </c>
      <c r="AE451" s="633">
        <v>0</v>
      </c>
      <c r="AF451" s="643">
        <v>0</v>
      </c>
      <c r="AG451" s="180"/>
      <c r="AH451" s="180"/>
      <c r="AI451" s="147"/>
    </row>
    <row r="452" spans="1:35" s="103" customFormat="1" ht="31.5" x14ac:dyDescent="0.25">
      <c r="A452" s="47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87"/>
      <c r="S452" s="87"/>
      <c r="T452" s="87"/>
      <c r="U452" s="87"/>
      <c r="V452" s="87"/>
      <c r="W452" s="87"/>
      <c r="X452" s="451" t="s">
        <v>261</v>
      </c>
      <c r="Y452" s="452" t="s">
        <v>63</v>
      </c>
      <c r="Z452" s="453" t="s">
        <v>16</v>
      </c>
      <c r="AA452" s="453" t="s">
        <v>29</v>
      </c>
      <c r="AB452" s="542" t="s">
        <v>553</v>
      </c>
      <c r="AC452" s="454"/>
      <c r="AD452" s="669">
        <f t="shared" ref="AD452:AF453" si="141">AD453</f>
        <v>535</v>
      </c>
      <c r="AE452" s="633">
        <f t="shared" si="141"/>
        <v>0</v>
      </c>
      <c r="AF452" s="643">
        <f t="shared" si="141"/>
        <v>0</v>
      </c>
      <c r="AG452" s="180"/>
      <c r="AH452" s="180"/>
      <c r="AI452" s="147"/>
    </row>
    <row r="453" spans="1:35" s="103" customFormat="1" ht="31.5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73"/>
      <c r="M453" s="81"/>
      <c r="N453" s="73"/>
      <c r="O453" s="92"/>
      <c r="P453" s="81"/>
      <c r="Q453" s="83"/>
      <c r="R453" s="87"/>
      <c r="S453" s="87"/>
      <c r="T453" s="87"/>
      <c r="U453" s="87"/>
      <c r="V453" s="87"/>
      <c r="W453" s="87"/>
      <c r="X453" s="451" t="s">
        <v>60</v>
      </c>
      <c r="Y453" s="452" t="s">
        <v>63</v>
      </c>
      <c r="Z453" s="453" t="s">
        <v>16</v>
      </c>
      <c r="AA453" s="453" t="s">
        <v>29</v>
      </c>
      <c r="AB453" s="542" t="s">
        <v>553</v>
      </c>
      <c r="AC453" s="454">
        <v>600</v>
      </c>
      <c r="AD453" s="669">
        <f t="shared" si="141"/>
        <v>535</v>
      </c>
      <c r="AE453" s="633">
        <f t="shared" si="141"/>
        <v>0</v>
      </c>
      <c r="AF453" s="643">
        <f t="shared" si="141"/>
        <v>0</v>
      </c>
      <c r="AG453" s="180"/>
      <c r="AH453" s="180"/>
      <c r="AI453" s="147"/>
    </row>
    <row r="454" spans="1:35" s="103" customFormat="1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51" t="s">
        <v>61</v>
      </c>
      <c r="Y454" s="452" t="s">
        <v>63</v>
      </c>
      <c r="Z454" s="453" t="s">
        <v>16</v>
      </c>
      <c r="AA454" s="453" t="s">
        <v>29</v>
      </c>
      <c r="AB454" s="542" t="s">
        <v>553</v>
      </c>
      <c r="AC454" s="454">
        <v>610</v>
      </c>
      <c r="AD454" s="669">
        <v>535</v>
      </c>
      <c r="AE454" s="633">
        <v>0</v>
      </c>
      <c r="AF454" s="643">
        <v>0</v>
      </c>
      <c r="AG454" s="180"/>
      <c r="AH454" s="180"/>
      <c r="AI454" s="147"/>
    </row>
    <row r="455" spans="1:35" s="103" customFormat="1" ht="31.5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659" t="s">
        <v>353</v>
      </c>
      <c r="Y455" s="452" t="s">
        <v>63</v>
      </c>
      <c r="Z455" s="453" t="s">
        <v>16</v>
      </c>
      <c r="AA455" s="453" t="s">
        <v>29</v>
      </c>
      <c r="AB455" s="542" t="s">
        <v>493</v>
      </c>
      <c r="AC455" s="454"/>
      <c r="AD455" s="669">
        <f>AD456+AD459</f>
        <v>93545.3</v>
      </c>
      <c r="AE455" s="633">
        <f>AE456+AE459</f>
        <v>79609.5</v>
      </c>
      <c r="AF455" s="643">
        <f>AF456+AF459</f>
        <v>64032.5</v>
      </c>
      <c r="AG455" s="180"/>
      <c r="AH455" s="180"/>
      <c r="AI455" s="147"/>
    </row>
    <row r="456" spans="1:35" s="103" customFormat="1" ht="47.25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51" t="s">
        <v>361</v>
      </c>
      <c r="Y456" s="452" t="s">
        <v>63</v>
      </c>
      <c r="Z456" s="453" t="s">
        <v>16</v>
      </c>
      <c r="AA456" s="453" t="s">
        <v>29</v>
      </c>
      <c r="AB456" s="542" t="s">
        <v>494</v>
      </c>
      <c r="AC456" s="454"/>
      <c r="AD456" s="669">
        <f t="shared" ref="AD456:AF457" si="142">AD457</f>
        <v>41851.599999999999</v>
      </c>
      <c r="AE456" s="633">
        <f t="shared" si="142"/>
        <v>37761.300000000003</v>
      </c>
      <c r="AF456" s="643">
        <f t="shared" si="142"/>
        <v>21859.200000000001</v>
      </c>
      <c r="AG456" s="180"/>
      <c r="AH456" s="180"/>
      <c r="AI456" s="147"/>
    </row>
    <row r="457" spans="1:35" s="103" customFormat="1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451" t="s">
        <v>60</v>
      </c>
      <c r="Y457" s="452" t="s">
        <v>63</v>
      </c>
      <c r="Z457" s="453" t="s">
        <v>16</v>
      </c>
      <c r="AA457" s="453" t="s">
        <v>29</v>
      </c>
      <c r="AB457" s="542" t="s">
        <v>494</v>
      </c>
      <c r="AC457" s="454">
        <v>600</v>
      </c>
      <c r="AD457" s="669">
        <f t="shared" si="142"/>
        <v>41851.599999999999</v>
      </c>
      <c r="AE457" s="633">
        <f t="shared" si="142"/>
        <v>37761.300000000003</v>
      </c>
      <c r="AF457" s="643">
        <f t="shared" si="142"/>
        <v>21859.200000000001</v>
      </c>
      <c r="AG457" s="180"/>
      <c r="AH457" s="180"/>
      <c r="AI457" s="147"/>
    </row>
    <row r="458" spans="1:35" s="103" customForma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451" t="s">
        <v>61</v>
      </c>
      <c r="Y458" s="452" t="s">
        <v>63</v>
      </c>
      <c r="Z458" s="453" t="s">
        <v>16</v>
      </c>
      <c r="AA458" s="453" t="s">
        <v>29</v>
      </c>
      <c r="AB458" s="542" t="s">
        <v>494</v>
      </c>
      <c r="AC458" s="454">
        <v>610</v>
      </c>
      <c r="AD458" s="669">
        <v>41851.599999999999</v>
      </c>
      <c r="AE458" s="633">
        <v>37761.300000000003</v>
      </c>
      <c r="AF458" s="643">
        <v>21859.200000000001</v>
      </c>
      <c r="AG458" s="180"/>
      <c r="AH458" s="180"/>
      <c r="AI458" s="147"/>
    </row>
    <row r="459" spans="1:35" s="103" customFormat="1" ht="47.2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451" t="s">
        <v>362</v>
      </c>
      <c r="Y459" s="452" t="s">
        <v>63</v>
      </c>
      <c r="Z459" s="453" t="s">
        <v>16</v>
      </c>
      <c r="AA459" s="453" t="s">
        <v>29</v>
      </c>
      <c r="AB459" s="542" t="s">
        <v>495</v>
      </c>
      <c r="AC459" s="454"/>
      <c r="AD459" s="669">
        <f t="shared" ref="AD459:AF460" si="143">AD460</f>
        <v>51693.700000000004</v>
      </c>
      <c r="AE459" s="633">
        <f t="shared" si="143"/>
        <v>41848.199999999997</v>
      </c>
      <c r="AF459" s="643">
        <f t="shared" si="143"/>
        <v>42173.3</v>
      </c>
      <c r="AG459" s="180"/>
      <c r="AH459" s="180"/>
      <c r="AI459" s="147"/>
    </row>
    <row r="460" spans="1:35" s="103" customFormat="1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92"/>
      <c r="P460" s="81"/>
      <c r="Q460" s="83"/>
      <c r="R460" s="87"/>
      <c r="S460" s="87"/>
      <c r="T460" s="87"/>
      <c r="U460" s="87"/>
      <c r="V460" s="87"/>
      <c r="W460" s="87"/>
      <c r="X460" s="451" t="s">
        <v>60</v>
      </c>
      <c r="Y460" s="452" t="s">
        <v>63</v>
      </c>
      <c r="Z460" s="453" t="s">
        <v>16</v>
      </c>
      <c r="AA460" s="453" t="s">
        <v>29</v>
      </c>
      <c r="AB460" s="542" t="s">
        <v>495</v>
      </c>
      <c r="AC460" s="454">
        <v>600</v>
      </c>
      <c r="AD460" s="669">
        <f t="shared" si="143"/>
        <v>51693.700000000004</v>
      </c>
      <c r="AE460" s="633">
        <f t="shared" si="143"/>
        <v>41848.199999999997</v>
      </c>
      <c r="AF460" s="643">
        <f t="shared" si="143"/>
        <v>42173.3</v>
      </c>
      <c r="AG460" s="180"/>
      <c r="AH460" s="180"/>
      <c r="AI460" s="147"/>
    </row>
    <row r="461" spans="1:35" s="103" customForma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92"/>
      <c r="P461" s="81"/>
      <c r="Q461" s="83"/>
      <c r="R461" s="87"/>
      <c r="S461" s="87"/>
      <c r="T461" s="87"/>
      <c r="U461" s="87"/>
      <c r="V461" s="87"/>
      <c r="W461" s="87"/>
      <c r="X461" s="451" t="s">
        <v>61</v>
      </c>
      <c r="Y461" s="452" t="s">
        <v>63</v>
      </c>
      <c r="Z461" s="453" t="s">
        <v>16</v>
      </c>
      <c r="AA461" s="453" t="s">
        <v>29</v>
      </c>
      <c r="AB461" s="542" t="s">
        <v>495</v>
      </c>
      <c r="AC461" s="454">
        <v>610</v>
      </c>
      <c r="AD461" s="669">
        <f>43843.8+7849.9</f>
        <v>51693.700000000004</v>
      </c>
      <c r="AE461" s="633">
        <v>41848.199999999997</v>
      </c>
      <c r="AF461" s="643">
        <v>42173.3</v>
      </c>
      <c r="AG461" s="180"/>
      <c r="AH461" s="180"/>
      <c r="AI461" s="147"/>
    </row>
    <row r="462" spans="1:35" s="500" customFormat="1" ht="49.5" customHeight="1" x14ac:dyDescent="0.25">
      <c r="A462" s="491"/>
      <c r="B462" s="493"/>
      <c r="C462" s="494"/>
      <c r="D462" s="494"/>
      <c r="E462" s="495"/>
      <c r="F462" s="495"/>
      <c r="G462" s="496"/>
      <c r="H462" s="496"/>
      <c r="I462" s="496"/>
      <c r="J462" s="496"/>
      <c r="K462" s="496"/>
      <c r="L462" s="492"/>
      <c r="M462" s="496"/>
      <c r="N462" s="492"/>
      <c r="O462" s="499"/>
      <c r="P462" s="496"/>
      <c r="Q462" s="497"/>
      <c r="R462" s="498"/>
      <c r="S462" s="498"/>
      <c r="T462" s="498"/>
      <c r="U462" s="498"/>
      <c r="V462" s="498"/>
      <c r="W462" s="498"/>
      <c r="X462" s="451" t="s">
        <v>804</v>
      </c>
      <c r="Y462" s="452" t="s">
        <v>63</v>
      </c>
      <c r="Z462" s="453" t="s">
        <v>16</v>
      </c>
      <c r="AA462" s="453" t="s">
        <v>29</v>
      </c>
      <c r="AB462" s="542" t="s">
        <v>807</v>
      </c>
      <c r="AC462" s="454"/>
      <c r="AD462" s="669">
        <f>AD463</f>
        <v>6000</v>
      </c>
      <c r="AE462" s="669">
        <f t="shared" ref="AE462:AF462" si="144">AE463</f>
        <v>0</v>
      </c>
      <c r="AF462" s="669">
        <f t="shared" si="144"/>
        <v>0</v>
      </c>
      <c r="AG462" s="506"/>
      <c r="AH462" s="506"/>
      <c r="AI462" s="502"/>
    </row>
    <row r="463" spans="1:35" s="500" customFormat="1" ht="25.5" customHeight="1" x14ac:dyDescent="0.25">
      <c r="A463" s="491"/>
      <c r="B463" s="493"/>
      <c r="C463" s="494"/>
      <c r="D463" s="494"/>
      <c r="E463" s="495"/>
      <c r="F463" s="495"/>
      <c r="G463" s="496"/>
      <c r="H463" s="496"/>
      <c r="I463" s="496"/>
      <c r="J463" s="496"/>
      <c r="K463" s="496"/>
      <c r="L463" s="492"/>
      <c r="M463" s="496"/>
      <c r="N463" s="492"/>
      <c r="O463" s="499"/>
      <c r="P463" s="496"/>
      <c r="Q463" s="497"/>
      <c r="R463" s="498"/>
      <c r="S463" s="498"/>
      <c r="T463" s="498"/>
      <c r="U463" s="498"/>
      <c r="V463" s="498"/>
      <c r="W463" s="498"/>
      <c r="X463" s="451" t="s">
        <v>805</v>
      </c>
      <c r="Y463" s="452" t="s">
        <v>63</v>
      </c>
      <c r="Z463" s="453" t="s">
        <v>16</v>
      </c>
      <c r="AA463" s="453" t="s">
        <v>29</v>
      </c>
      <c r="AB463" s="542" t="s">
        <v>806</v>
      </c>
      <c r="AC463" s="454"/>
      <c r="AD463" s="669">
        <f>AD464</f>
        <v>6000</v>
      </c>
      <c r="AE463" s="669">
        <f t="shared" ref="AE463:AF463" si="145">AE464</f>
        <v>0</v>
      </c>
      <c r="AF463" s="669">
        <f t="shared" si="145"/>
        <v>0</v>
      </c>
      <c r="AG463" s="506"/>
      <c r="AH463" s="506"/>
      <c r="AI463" s="502"/>
    </row>
    <row r="464" spans="1:35" s="500" customFormat="1" ht="31.5" x14ac:dyDescent="0.25">
      <c r="A464" s="491"/>
      <c r="B464" s="493"/>
      <c r="C464" s="494"/>
      <c r="D464" s="494"/>
      <c r="E464" s="495"/>
      <c r="F464" s="495"/>
      <c r="G464" s="496"/>
      <c r="H464" s="496"/>
      <c r="I464" s="496"/>
      <c r="J464" s="496"/>
      <c r="K464" s="496"/>
      <c r="L464" s="492"/>
      <c r="M464" s="496"/>
      <c r="N464" s="492"/>
      <c r="O464" s="499"/>
      <c r="P464" s="496"/>
      <c r="Q464" s="497"/>
      <c r="R464" s="498"/>
      <c r="S464" s="498"/>
      <c r="T464" s="498"/>
      <c r="U464" s="498"/>
      <c r="V464" s="498"/>
      <c r="W464" s="498"/>
      <c r="X464" s="451" t="s">
        <v>60</v>
      </c>
      <c r="Y464" s="452" t="s">
        <v>63</v>
      </c>
      <c r="Z464" s="453" t="s">
        <v>16</v>
      </c>
      <c r="AA464" s="453" t="s">
        <v>29</v>
      </c>
      <c r="AB464" s="542" t="s">
        <v>806</v>
      </c>
      <c r="AC464" s="454">
        <v>600</v>
      </c>
      <c r="AD464" s="669">
        <f>AD465</f>
        <v>6000</v>
      </c>
      <c r="AE464" s="669">
        <f t="shared" ref="AE464:AF464" si="146">AE465</f>
        <v>0</v>
      </c>
      <c r="AF464" s="669">
        <f t="shared" si="146"/>
        <v>0</v>
      </c>
      <c r="AG464" s="506"/>
      <c r="AH464" s="506"/>
      <c r="AI464" s="502"/>
    </row>
    <row r="465" spans="1:35" s="500" customFormat="1" ht="21.75" customHeight="1" x14ac:dyDescent="0.25">
      <c r="A465" s="491"/>
      <c r="B465" s="493"/>
      <c r="C465" s="494"/>
      <c r="D465" s="494"/>
      <c r="E465" s="495"/>
      <c r="F465" s="495"/>
      <c r="G465" s="496"/>
      <c r="H465" s="496"/>
      <c r="I465" s="496"/>
      <c r="J465" s="496"/>
      <c r="K465" s="496"/>
      <c r="L465" s="492"/>
      <c r="M465" s="496"/>
      <c r="N465" s="492"/>
      <c r="O465" s="499"/>
      <c r="P465" s="496"/>
      <c r="Q465" s="497"/>
      <c r="R465" s="498"/>
      <c r="S465" s="498"/>
      <c r="T465" s="498"/>
      <c r="U465" s="498"/>
      <c r="V465" s="498"/>
      <c r="W465" s="498"/>
      <c r="X465" s="451" t="s">
        <v>61</v>
      </c>
      <c r="Y465" s="452" t="s">
        <v>63</v>
      </c>
      <c r="Z465" s="453" t="s">
        <v>16</v>
      </c>
      <c r="AA465" s="453" t="s">
        <v>29</v>
      </c>
      <c r="AB465" s="542" t="s">
        <v>806</v>
      </c>
      <c r="AC465" s="454">
        <v>610</v>
      </c>
      <c r="AD465" s="669">
        <v>6000</v>
      </c>
      <c r="AE465" s="633">
        <v>0</v>
      </c>
      <c r="AF465" s="643">
        <v>0</v>
      </c>
      <c r="AG465" s="506"/>
      <c r="AH465" s="506"/>
      <c r="AI465" s="502"/>
    </row>
    <row r="466" spans="1:35" s="103" customFormat="1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73"/>
      <c r="M466" s="81"/>
      <c r="N466" s="73"/>
      <c r="O466" s="92"/>
      <c r="P466" s="81"/>
      <c r="Q466" s="83"/>
      <c r="R466" s="87"/>
      <c r="S466" s="87"/>
      <c r="T466" s="87"/>
      <c r="U466" s="87"/>
      <c r="V466" s="87"/>
      <c r="W466" s="87"/>
      <c r="X466" s="451" t="s">
        <v>634</v>
      </c>
      <c r="Y466" s="452" t="s">
        <v>63</v>
      </c>
      <c r="Z466" s="453" t="s">
        <v>16</v>
      </c>
      <c r="AA466" s="453" t="s">
        <v>29</v>
      </c>
      <c r="AB466" s="542" t="s">
        <v>635</v>
      </c>
      <c r="AC466" s="454"/>
      <c r="AD466" s="669">
        <f>AD467</f>
        <v>1440.5</v>
      </c>
      <c r="AE466" s="633">
        <f t="shared" ref="AE466:AF468" si="147">AE467</f>
        <v>345.5</v>
      </c>
      <c r="AF466" s="643">
        <f t="shared" si="147"/>
        <v>0</v>
      </c>
      <c r="AG466" s="180"/>
      <c r="AH466" s="180"/>
      <c r="AI466" s="147"/>
    </row>
    <row r="467" spans="1:35" s="103" customFormat="1" ht="47.2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73"/>
      <c r="M467" s="81"/>
      <c r="N467" s="73"/>
      <c r="O467" s="92"/>
      <c r="P467" s="81"/>
      <c r="Q467" s="83"/>
      <c r="R467" s="87"/>
      <c r="S467" s="87"/>
      <c r="T467" s="87"/>
      <c r="U467" s="87"/>
      <c r="V467" s="87"/>
      <c r="W467" s="87"/>
      <c r="X467" s="451" t="s">
        <v>636</v>
      </c>
      <c r="Y467" s="452" t="s">
        <v>63</v>
      </c>
      <c r="Z467" s="453" t="s">
        <v>16</v>
      </c>
      <c r="AA467" s="453" t="s">
        <v>29</v>
      </c>
      <c r="AB467" s="542" t="s">
        <v>637</v>
      </c>
      <c r="AC467" s="454"/>
      <c r="AD467" s="669">
        <f>AD468</f>
        <v>1440.5</v>
      </c>
      <c r="AE467" s="633">
        <f t="shared" si="147"/>
        <v>345.5</v>
      </c>
      <c r="AF467" s="643">
        <f t="shared" si="147"/>
        <v>0</v>
      </c>
      <c r="AG467" s="180"/>
      <c r="AH467" s="180"/>
      <c r="AI467" s="147"/>
    </row>
    <row r="468" spans="1:35" s="103" customFormat="1" ht="31.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73"/>
      <c r="M468" s="81"/>
      <c r="N468" s="73"/>
      <c r="O468" s="92"/>
      <c r="P468" s="81"/>
      <c r="Q468" s="83"/>
      <c r="R468" s="87"/>
      <c r="S468" s="87"/>
      <c r="T468" s="87"/>
      <c r="U468" s="87"/>
      <c r="V468" s="87"/>
      <c r="W468" s="87"/>
      <c r="X468" s="451" t="s">
        <v>60</v>
      </c>
      <c r="Y468" s="452" t="s">
        <v>63</v>
      </c>
      <c r="Z468" s="453" t="s">
        <v>16</v>
      </c>
      <c r="AA468" s="453" t="s">
        <v>29</v>
      </c>
      <c r="AB468" s="542" t="s">
        <v>637</v>
      </c>
      <c r="AC468" s="454">
        <v>600</v>
      </c>
      <c r="AD468" s="669">
        <f>AD469</f>
        <v>1440.5</v>
      </c>
      <c r="AE468" s="633">
        <f t="shared" si="147"/>
        <v>345.5</v>
      </c>
      <c r="AF468" s="643">
        <f t="shared" si="147"/>
        <v>0</v>
      </c>
      <c r="AG468" s="180"/>
      <c r="AH468" s="180"/>
      <c r="AI468" s="147"/>
    </row>
    <row r="469" spans="1:35" s="103" customFormat="1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73"/>
      <c r="M469" s="81"/>
      <c r="N469" s="73"/>
      <c r="O469" s="92"/>
      <c r="P469" s="81"/>
      <c r="Q469" s="83"/>
      <c r="R469" s="87"/>
      <c r="S469" s="87"/>
      <c r="T469" s="87"/>
      <c r="U469" s="87"/>
      <c r="V469" s="87"/>
      <c r="W469" s="87"/>
      <c r="X469" s="451" t="s">
        <v>61</v>
      </c>
      <c r="Y469" s="452" t="s">
        <v>63</v>
      </c>
      <c r="Z469" s="453" t="s">
        <v>16</v>
      </c>
      <c r="AA469" s="453" t="s">
        <v>29</v>
      </c>
      <c r="AB469" s="542" t="s">
        <v>637</v>
      </c>
      <c r="AC469" s="454">
        <v>610</v>
      </c>
      <c r="AD469" s="669">
        <f>404.1+1036.4</f>
        <v>1440.5</v>
      </c>
      <c r="AE469" s="633">
        <v>345.5</v>
      </c>
      <c r="AF469" s="643">
        <v>0</v>
      </c>
      <c r="AG469" s="180"/>
      <c r="AH469" s="180"/>
      <c r="AI469" s="147"/>
    </row>
    <row r="470" spans="1:35" s="500" customFormat="1" x14ac:dyDescent="0.25">
      <c r="A470" s="491"/>
      <c r="B470" s="493"/>
      <c r="C470" s="494"/>
      <c r="D470" s="494"/>
      <c r="E470" s="495"/>
      <c r="F470" s="495"/>
      <c r="G470" s="496"/>
      <c r="H470" s="496"/>
      <c r="I470" s="496"/>
      <c r="J470" s="496"/>
      <c r="K470" s="496"/>
      <c r="L470" s="492"/>
      <c r="M470" s="496"/>
      <c r="N470" s="492"/>
      <c r="O470" s="499"/>
      <c r="P470" s="496"/>
      <c r="Q470" s="497"/>
      <c r="R470" s="498"/>
      <c r="S470" s="498"/>
      <c r="T470" s="498"/>
      <c r="U470" s="498"/>
      <c r="V470" s="498"/>
      <c r="W470" s="498"/>
      <c r="X470" s="259" t="s">
        <v>242</v>
      </c>
      <c r="Y470" s="452" t="s">
        <v>63</v>
      </c>
      <c r="Z470" s="515" t="s">
        <v>16</v>
      </c>
      <c r="AA470" s="515" t="s">
        <v>29</v>
      </c>
      <c r="AB470" s="409" t="s">
        <v>243</v>
      </c>
      <c r="AC470" s="454"/>
      <c r="AD470" s="669">
        <f t="shared" ref="AD470:AD475" si="148">AD471</f>
        <v>18637.3</v>
      </c>
      <c r="AE470" s="633">
        <f t="shared" ref="AE470:AF475" si="149">AE471</f>
        <v>21472</v>
      </c>
      <c r="AF470" s="643">
        <f t="shared" si="149"/>
        <v>22352</v>
      </c>
      <c r="AG470" s="506"/>
      <c r="AH470" s="506"/>
      <c r="AI470" s="502"/>
    </row>
    <row r="471" spans="1:35" s="500" customFormat="1" ht="31.5" x14ac:dyDescent="0.25">
      <c r="A471" s="491"/>
      <c r="B471" s="493"/>
      <c r="C471" s="494"/>
      <c r="D471" s="494"/>
      <c r="E471" s="495"/>
      <c r="F471" s="495"/>
      <c r="G471" s="496"/>
      <c r="H471" s="496"/>
      <c r="I471" s="496"/>
      <c r="J471" s="496"/>
      <c r="K471" s="496"/>
      <c r="L471" s="492"/>
      <c r="M471" s="496"/>
      <c r="N471" s="492"/>
      <c r="O471" s="499"/>
      <c r="P471" s="496"/>
      <c r="Q471" s="497"/>
      <c r="R471" s="498"/>
      <c r="S471" s="498"/>
      <c r="T471" s="498"/>
      <c r="U471" s="498"/>
      <c r="V471" s="498"/>
      <c r="W471" s="498"/>
      <c r="X471" s="275" t="s">
        <v>539</v>
      </c>
      <c r="Y471" s="511" t="s">
        <v>63</v>
      </c>
      <c r="Z471" s="515" t="s">
        <v>16</v>
      </c>
      <c r="AA471" s="515" t="s">
        <v>29</v>
      </c>
      <c r="AB471" s="409" t="s">
        <v>244</v>
      </c>
      <c r="AC471" s="454"/>
      <c r="AD471" s="669">
        <f t="shared" si="148"/>
        <v>18637.3</v>
      </c>
      <c r="AE471" s="633">
        <f t="shared" si="149"/>
        <v>21472</v>
      </c>
      <c r="AF471" s="643">
        <f t="shared" si="149"/>
        <v>22352</v>
      </c>
      <c r="AG471" s="506"/>
      <c r="AH471" s="506"/>
      <c r="AI471" s="502"/>
    </row>
    <row r="472" spans="1:35" s="500" customFormat="1" ht="31.5" x14ac:dyDescent="0.25">
      <c r="A472" s="491"/>
      <c r="B472" s="493"/>
      <c r="C472" s="494"/>
      <c r="D472" s="494"/>
      <c r="E472" s="495"/>
      <c r="F472" s="495"/>
      <c r="G472" s="496"/>
      <c r="H472" s="496"/>
      <c r="I472" s="496"/>
      <c r="J472" s="496"/>
      <c r="K472" s="496"/>
      <c r="L472" s="492"/>
      <c r="M472" s="496"/>
      <c r="N472" s="492"/>
      <c r="O472" s="499"/>
      <c r="P472" s="496"/>
      <c r="Q472" s="497"/>
      <c r="R472" s="498"/>
      <c r="S472" s="498"/>
      <c r="T472" s="498"/>
      <c r="U472" s="498"/>
      <c r="V472" s="498"/>
      <c r="W472" s="498"/>
      <c r="X472" s="257" t="s">
        <v>540</v>
      </c>
      <c r="Y472" s="511" t="s">
        <v>63</v>
      </c>
      <c r="Z472" s="515" t="s">
        <v>16</v>
      </c>
      <c r="AA472" s="515" t="s">
        <v>29</v>
      </c>
      <c r="AB472" s="409" t="s">
        <v>245</v>
      </c>
      <c r="AC472" s="454"/>
      <c r="AD472" s="669">
        <f t="shared" si="148"/>
        <v>18637.3</v>
      </c>
      <c r="AE472" s="633">
        <f t="shared" si="149"/>
        <v>21472</v>
      </c>
      <c r="AF472" s="643">
        <f t="shared" si="149"/>
        <v>22352</v>
      </c>
      <c r="AG472" s="506"/>
      <c r="AH472" s="506"/>
      <c r="AI472" s="502"/>
    </row>
    <row r="473" spans="1:35" s="500" customFormat="1" x14ac:dyDescent="0.25">
      <c r="A473" s="491"/>
      <c r="B473" s="493"/>
      <c r="C473" s="494"/>
      <c r="D473" s="494"/>
      <c r="E473" s="495"/>
      <c r="F473" s="495"/>
      <c r="G473" s="496"/>
      <c r="H473" s="496"/>
      <c r="I473" s="496"/>
      <c r="J473" s="496"/>
      <c r="K473" s="496"/>
      <c r="L473" s="492"/>
      <c r="M473" s="496"/>
      <c r="N473" s="492"/>
      <c r="O473" s="499"/>
      <c r="P473" s="496"/>
      <c r="Q473" s="497"/>
      <c r="R473" s="498"/>
      <c r="S473" s="498"/>
      <c r="T473" s="498"/>
      <c r="U473" s="498"/>
      <c r="V473" s="498"/>
      <c r="W473" s="498"/>
      <c r="X473" s="257" t="s">
        <v>631</v>
      </c>
      <c r="Y473" s="511" t="s">
        <v>63</v>
      </c>
      <c r="Z473" s="515" t="s">
        <v>16</v>
      </c>
      <c r="AA473" s="515" t="s">
        <v>29</v>
      </c>
      <c r="AB473" s="409" t="s">
        <v>632</v>
      </c>
      <c r="AC473" s="454"/>
      <c r="AD473" s="669">
        <f t="shared" si="148"/>
        <v>18637.3</v>
      </c>
      <c r="AE473" s="633">
        <f t="shared" si="149"/>
        <v>21472</v>
      </c>
      <c r="AF473" s="643">
        <f t="shared" si="149"/>
        <v>22352</v>
      </c>
      <c r="AG473" s="506"/>
      <c r="AH473" s="506"/>
      <c r="AI473" s="502"/>
    </row>
    <row r="474" spans="1:35" s="500" customFormat="1" x14ac:dyDescent="0.25">
      <c r="A474" s="491"/>
      <c r="B474" s="493"/>
      <c r="C474" s="494"/>
      <c r="D474" s="494"/>
      <c r="E474" s="495"/>
      <c r="F474" s="495"/>
      <c r="G474" s="496"/>
      <c r="H474" s="496"/>
      <c r="I474" s="496"/>
      <c r="J474" s="496"/>
      <c r="K474" s="496"/>
      <c r="L474" s="492"/>
      <c r="M474" s="496"/>
      <c r="N474" s="492"/>
      <c r="O474" s="499"/>
      <c r="P474" s="496"/>
      <c r="Q474" s="497"/>
      <c r="R474" s="498"/>
      <c r="S474" s="498"/>
      <c r="T474" s="498"/>
      <c r="U474" s="498"/>
      <c r="V474" s="498"/>
      <c r="W474" s="498"/>
      <c r="X474" s="257" t="s">
        <v>722</v>
      </c>
      <c r="Y474" s="511" t="s">
        <v>63</v>
      </c>
      <c r="Z474" s="515" t="s">
        <v>16</v>
      </c>
      <c r="AA474" s="515" t="s">
        <v>29</v>
      </c>
      <c r="AB474" s="409" t="s">
        <v>689</v>
      </c>
      <c r="AC474" s="516"/>
      <c r="AD474" s="669">
        <f t="shared" si="148"/>
        <v>18637.3</v>
      </c>
      <c r="AE474" s="633">
        <f t="shared" si="149"/>
        <v>21472</v>
      </c>
      <c r="AF474" s="643">
        <f t="shared" si="149"/>
        <v>22352</v>
      </c>
      <c r="AG474" s="506"/>
      <c r="AH474" s="506"/>
      <c r="AI474" s="502"/>
    </row>
    <row r="475" spans="1:35" s="500" customFormat="1" ht="31.5" x14ac:dyDescent="0.25">
      <c r="A475" s="491"/>
      <c r="B475" s="493"/>
      <c r="C475" s="494"/>
      <c r="D475" s="494"/>
      <c r="E475" s="495"/>
      <c r="F475" s="495"/>
      <c r="G475" s="496"/>
      <c r="H475" s="496"/>
      <c r="I475" s="496"/>
      <c r="J475" s="496"/>
      <c r="K475" s="496"/>
      <c r="L475" s="492"/>
      <c r="M475" s="496"/>
      <c r="N475" s="492"/>
      <c r="O475" s="499"/>
      <c r="P475" s="496"/>
      <c r="Q475" s="497"/>
      <c r="R475" s="498"/>
      <c r="S475" s="498"/>
      <c r="T475" s="498"/>
      <c r="U475" s="498"/>
      <c r="V475" s="498"/>
      <c r="W475" s="498"/>
      <c r="X475" s="523" t="s">
        <v>60</v>
      </c>
      <c r="Y475" s="511" t="s">
        <v>63</v>
      </c>
      <c r="Z475" s="515" t="s">
        <v>16</v>
      </c>
      <c r="AA475" s="515" t="s">
        <v>29</v>
      </c>
      <c r="AB475" s="409" t="s">
        <v>689</v>
      </c>
      <c r="AC475" s="516">
        <v>600</v>
      </c>
      <c r="AD475" s="669">
        <f t="shared" si="148"/>
        <v>18637.3</v>
      </c>
      <c r="AE475" s="633">
        <f t="shared" si="149"/>
        <v>21472</v>
      </c>
      <c r="AF475" s="643">
        <f t="shared" si="149"/>
        <v>22352</v>
      </c>
      <c r="AG475" s="506"/>
      <c r="AH475" s="506"/>
      <c r="AI475" s="502"/>
    </row>
    <row r="476" spans="1:35" s="500" customFormat="1" x14ac:dyDescent="0.25">
      <c r="A476" s="491"/>
      <c r="B476" s="493"/>
      <c r="C476" s="494"/>
      <c r="D476" s="494"/>
      <c r="E476" s="495"/>
      <c r="F476" s="495"/>
      <c r="G476" s="496"/>
      <c r="H476" s="496"/>
      <c r="I476" s="496"/>
      <c r="J476" s="496"/>
      <c r="K476" s="496"/>
      <c r="L476" s="492"/>
      <c r="M476" s="496"/>
      <c r="N476" s="492"/>
      <c r="O476" s="499"/>
      <c r="P476" s="496"/>
      <c r="Q476" s="497"/>
      <c r="R476" s="498"/>
      <c r="S476" s="498"/>
      <c r="T476" s="498"/>
      <c r="U476" s="498"/>
      <c r="V476" s="498"/>
      <c r="W476" s="498"/>
      <c r="X476" s="523" t="s">
        <v>61</v>
      </c>
      <c r="Y476" s="511" t="s">
        <v>63</v>
      </c>
      <c r="Z476" s="515" t="s">
        <v>16</v>
      </c>
      <c r="AA476" s="515" t="s">
        <v>29</v>
      </c>
      <c r="AB476" s="409" t="s">
        <v>689</v>
      </c>
      <c r="AC476" s="516">
        <v>610</v>
      </c>
      <c r="AD476" s="669">
        <f>20666-2028.7</f>
        <v>18637.3</v>
      </c>
      <c r="AE476" s="633">
        <v>21472</v>
      </c>
      <c r="AF476" s="643">
        <v>22352</v>
      </c>
      <c r="AG476" s="506"/>
      <c r="AH476" s="506"/>
      <c r="AI476" s="502"/>
    </row>
    <row r="477" spans="1:35" s="500" customFormat="1" x14ac:dyDescent="0.25">
      <c r="A477" s="491"/>
      <c r="B477" s="493"/>
      <c r="C477" s="494"/>
      <c r="D477" s="494"/>
      <c r="E477" s="495"/>
      <c r="F477" s="495"/>
      <c r="G477" s="496"/>
      <c r="H477" s="496"/>
      <c r="I477" s="496"/>
      <c r="J477" s="496"/>
      <c r="K477" s="496"/>
      <c r="L477" s="492"/>
      <c r="M477" s="496"/>
      <c r="N477" s="492"/>
      <c r="O477" s="499"/>
      <c r="P477" s="496"/>
      <c r="Q477" s="497"/>
      <c r="R477" s="498"/>
      <c r="S477" s="498"/>
      <c r="T477" s="498"/>
      <c r="U477" s="498"/>
      <c r="V477" s="498"/>
      <c r="W477" s="498"/>
      <c r="X477" s="451" t="s">
        <v>759</v>
      </c>
      <c r="Y477" s="511" t="s">
        <v>63</v>
      </c>
      <c r="Z477" s="453" t="s">
        <v>22</v>
      </c>
      <c r="AA477" s="453"/>
      <c r="AB477" s="542"/>
      <c r="AC477" s="454"/>
      <c r="AD477" s="669">
        <f t="shared" ref="AD477:AF483" si="150">AD478</f>
        <v>650</v>
      </c>
      <c r="AE477" s="633">
        <f t="shared" si="150"/>
        <v>0</v>
      </c>
      <c r="AF477" s="643">
        <f t="shared" si="150"/>
        <v>0</v>
      </c>
      <c r="AG477" s="506"/>
      <c r="AH477" s="506"/>
      <c r="AI477" s="502"/>
    </row>
    <row r="478" spans="1:35" s="500" customFormat="1" x14ac:dyDescent="0.25">
      <c r="A478" s="491"/>
      <c r="B478" s="493"/>
      <c r="C478" s="494"/>
      <c r="D478" s="494"/>
      <c r="E478" s="495"/>
      <c r="F478" s="495"/>
      <c r="G478" s="496"/>
      <c r="H478" s="496"/>
      <c r="I478" s="496"/>
      <c r="J478" s="496"/>
      <c r="K478" s="496"/>
      <c r="L478" s="492"/>
      <c r="M478" s="496"/>
      <c r="N478" s="492"/>
      <c r="O478" s="499"/>
      <c r="P478" s="496"/>
      <c r="Q478" s="497"/>
      <c r="R478" s="498"/>
      <c r="S478" s="498"/>
      <c r="T478" s="498"/>
      <c r="U478" s="498"/>
      <c r="V478" s="498"/>
      <c r="W478" s="498"/>
      <c r="X478" s="451" t="s">
        <v>760</v>
      </c>
      <c r="Y478" s="452" t="s">
        <v>63</v>
      </c>
      <c r="Z478" s="453" t="s">
        <v>22</v>
      </c>
      <c r="AA478" s="453" t="s">
        <v>22</v>
      </c>
      <c r="AB478" s="542"/>
      <c r="AC478" s="454"/>
      <c r="AD478" s="669">
        <f t="shared" si="150"/>
        <v>650</v>
      </c>
      <c r="AE478" s="633">
        <f t="shared" si="150"/>
        <v>0</v>
      </c>
      <c r="AF478" s="643">
        <f t="shared" si="150"/>
        <v>0</v>
      </c>
      <c r="AG478" s="506"/>
      <c r="AH478" s="506"/>
      <c r="AI478" s="502"/>
    </row>
    <row r="479" spans="1:35" s="500" customFormat="1" x14ac:dyDescent="0.25">
      <c r="A479" s="491"/>
      <c r="B479" s="493"/>
      <c r="C479" s="494"/>
      <c r="D479" s="494"/>
      <c r="E479" s="495"/>
      <c r="F479" s="495"/>
      <c r="G479" s="496"/>
      <c r="H479" s="496"/>
      <c r="I479" s="496"/>
      <c r="J479" s="496"/>
      <c r="K479" s="496"/>
      <c r="L479" s="492"/>
      <c r="M479" s="496"/>
      <c r="N479" s="492"/>
      <c r="O479" s="499"/>
      <c r="P479" s="496"/>
      <c r="Q479" s="497"/>
      <c r="R479" s="498"/>
      <c r="S479" s="498"/>
      <c r="T479" s="498"/>
      <c r="U479" s="498"/>
      <c r="V479" s="498"/>
      <c r="W479" s="498"/>
      <c r="X479" s="451" t="s">
        <v>761</v>
      </c>
      <c r="Y479" s="452" t="s">
        <v>63</v>
      </c>
      <c r="Z479" s="453" t="s">
        <v>22</v>
      </c>
      <c r="AA479" s="453" t="s">
        <v>22</v>
      </c>
      <c r="AB479" s="542" t="s">
        <v>762</v>
      </c>
      <c r="AC479" s="454"/>
      <c r="AD479" s="669">
        <f t="shared" si="150"/>
        <v>650</v>
      </c>
      <c r="AE479" s="633">
        <f t="shared" si="150"/>
        <v>0</v>
      </c>
      <c r="AF479" s="643">
        <f t="shared" si="150"/>
        <v>0</v>
      </c>
      <c r="AG479" s="506"/>
      <c r="AH479" s="506"/>
      <c r="AI479" s="502"/>
    </row>
    <row r="480" spans="1:35" s="500" customFormat="1" x14ac:dyDescent="0.25">
      <c r="A480" s="491"/>
      <c r="B480" s="493"/>
      <c r="C480" s="494"/>
      <c r="D480" s="494"/>
      <c r="E480" s="495"/>
      <c r="F480" s="495"/>
      <c r="G480" s="496"/>
      <c r="H480" s="496"/>
      <c r="I480" s="496"/>
      <c r="J480" s="496"/>
      <c r="K480" s="496"/>
      <c r="L480" s="492"/>
      <c r="M480" s="496"/>
      <c r="N480" s="492"/>
      <c r="O480" s="499"/>
      <c r="P480" s="496"/>
      <c r="Q480" s="497"/>
      <c r="R480" s="498"/>
      <c r="S480" s="498"/>
      <c r="T480" s="498"/>
      <c r="U480" s="498"/>
      <c r="V480" s="498"/>
      <c r="W480" s="498"/>
      <c r="X480" s="451" t="s">
        <v>763</v>
      </c>
      <c r="Y480" s="452" t="s">
        <v>63</v>
      </c>
      <c r="Z480" s="453" t="s">
        <v>22</v>
      </c>
      <c r="AA480" s="453" t="s">
        <v>22</v>
      </c>
      <c r="AB480" s="542" t="s">
        <v>764</v>
      </c>
      <c r="AC480" s="454"/>
      <c r="AD480" s="669">
        <f t="shared" si="150"/>
        <v>650</v>
      </c>
      <c r="AE480" s="633">
        <f t="shared" si="150"/>
        <v>0</v>
      </c>
      <c r="AF480" s="643">
        <f t="shared" si="150"/>
        <v>0</v>
      </c>
      <c r="AG480" s="506"/>
      <c r="AH480" s="506"/>
      <c r="AI480" s="502"/>
    </row>
    <row r="481" spans="1:35" s="500" customFormat="1" ht="31.5" x14ac:dyDescent="0.25">
      <c r="A481" s="491"/>
      <c r="B481" s="493"/>
      <c r="C481" s="494"/>
      <c r="D481" s="494"/>
      <c r="E481" s="495"/>
      <c r="F481" s="495"/>
      <c r="G481" s="496"/>
      <c r="H481" s="496"/>
      <c r="I481" s="496"/>
      <c r="J481" s="496"/>
      <c r="K481" s="496"/>
      <c r="L481" s="492"/>
      <c r="M481" s="496"/>
      <c r="N481" s="492"/>
      <c r="O481" s="499"/>
      <c r="P481" s="496"/>
      <c r="Q481" s="497"/>
      <c r="R481" s="498"/>
      <c r="S481" s="498"/>
      <c r="T481" s="498"/>
      <c r="U481" s="498"/>
      <c r="V481" s="498"/>
      <c r="W481" s="498"/>
      <c r="X481" s="451" t="s">
        <v>765</v>
      </c>
      <c r="Y481" s="452" t="s">
        <v>63</v>
      </c>
      <c r="Z481" s="453" t="s">
        <v>22</v>
      </c>
      <c r="AA481" s="453" t="s">
        <v>22</v>
      </c>
      <c r="AB481" s="542" t="s">
        <v>766</v>
      </c>
      <c r="AC481" s="454"/>
      <c r="AD481" s="669">
        <f t="shared" si="150"/>
        <v>650</v>
      </c>
      <c r="AE481" s="633">
        <f t="shared" si="150"/>
        <v>0</v>
      </c>
      <c r="AF481" s="643">
        <f t="shared" si="150"/>
        <v>0</v>
      </c>
      <c r="AG481" s="506"/>
      <c r="AH481" s="506"/>
      <c r="AI481" s="502"/>
    </row>
    <row r="482" spans="1:35" s="500" customFormat="1" ht="51.75" customHeight="1" x14ac:dyDescent="0.25">
      <c r="A482" s="491"/>
      <c r="B482" s="493"/>
      <c r="C482" s="494"/>
      <c r="D482" s="494"/>
      <c r="E482" s="495"/>
      <c r="F482" s="495"/>
      <c r="G482" s="496"/>
      <c r="H482" s="496"/>
      <c r="I482" s="496"/>
      <c r="J482" s="496"/>
      <c r="K482" s="496"/>
      <c r="L482" s="492"/>
      <c r="M482" s="496"/>
      <c r="N482" s="492"/>
      <c r="O482" s="499"/>
      <c r="P482" s="496"/>
      <c r="Q482" s="497"/>
      <c r="R482" s="498"/>
      <c r="S482" s="498"/>
      <c r="T482" s="498"/>
      <c r="U482" s="498"/>
      <c r="V482" s="498"/>
      <c r="W482" s="498"/>
      <c r="X482" s="451" t="s">
        <v>768</v>
      </c>
      <c r="Y482" s="452" t="s">
        <v>63</v>
      </c>
      <c r="Z482" s="453" t="s">
        <v>22</v>
      </c>
      <c r="AA482" s="453" t="s">
        <v>22</v>
      </c>
      <c r="AB482" s="542" t="s">
        <v>767</v>
      </c>
      <c r="AC482" s="454"/>
      <c r="AD482" s="669">
        <f t="shared" si="150"/>
        <v>650</v>
      </c>
      <c r="AE482" s="633">
        <f t="shared" si="150"/>
        <v>0</v>
      </c>
      <c r="AF482" s="643">
        <f t="shared" si="150"/>
        <v>0</v>
      </c>
      <c r="AG482" s="506"/>
      <c r="AH482" s="506"/>
      <c r="AI482" s="502"/>
    </row>
    <row r="483" spans="1:35" s="500" customFormat="1" x14ac:dyDescent="0.25">
      <c r="A483" s="491"/>
      <c r="B483" s="493"/>
      <c r="C483" s="494"/>
      <c r="D483" s="494"/>
      <c r="E483" s="495"/>
      <c r="F483" s="495"/>
      <c r="G483" s="496"/>
      <c r="H483" s="496"/>
      <c r="I483" s="496"/>
      <c r="J483" s="496"/>
      <c r="K483" s="496"/>
      <c r="L483" s="492"/>
      <c r="M483" s="496"/>
      <c r="N483" s="492"/>
      <c r="O483" s="499"/>
      <c r="P483" s="496"/>
      <c r="Q483" s="497"/>
      <c r="R483" s="498"/>
      <c r="S483" s="498"/>
      <c r="T483" s="498"/>
      <c r="U483" s="498"/>
      <c r="V483" s="498"/>
      <c r="W483" s="498"/>
      <c r="X483" s="451" t="s">
        <v>97</v>
      </c>
      <c r="Y483" s="452" t="s">
        <v>63</v>
      </c>
      <c r="Z483" s="453" t="s">
        <v>22</v>
      </c>
      <c r="AA483" s="453" t="s">
        <v>22</v>
      </c>
      <c r="AB483" s="542" t="s">
        <v>767</v>
      </c>
      <c r="AC483" s="454">
        <v>300</v>
      </c>
      <c r="AD483" s="669">
        <f t="shared" si="150"/>
        <v>650</v>
      </c>
      <c r="AE483" s="633">
        <f t="shared" si="150"/>
        <v>0</v>
      </c>
      <c r="AF483" s="643">
        <f t="shared" si="150"/>
        <v>0</v>
      </c>
      <c r="AG483" s="506"/>
      <c r="AH483" s="506"/>
      <c r="AI483" s="502"/>
    </row>
    <row r="484" spans="1:35" s="77" customFormat="1" x14ac:dyDescent="0.25">
      <c r="A484" s="68"/>
      <c r="B484" s="69"/>
      <c r="C484" s="71"/>
      <c r="D484" s="72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51" t="s">
        <v>40</v>
      </c>
      <c r="Y484" s="452" t="s">
        <v>63</v>
      </c>
      <c r="Z484" s="453" t="s">
        <v>22</v>
      </c>
      <c r="AA484" s="453" t="s">
        <v>22</v>
      </c>
      <c r="AB484" s="542" t="s">
        <v>767</v>
      </c>
      <c r="AC484" s="454">
        <v>320</v>
      </c>
      <c r="AD484" s="669">
        <f>300+50+300</f>
        <v>650</v>
      </c>
      <c r="AE484" s="633">
        <v>0</v>
      </c>
      <c r="AF484" s="643">
        <v>0</v>
      </c>
      <c r="AG484" s="205"/>
      <c r="AH484" s="205"/>
      <c r="AI484" s="147"/>
    </row>
    <row r="485" spans="1:35" s="77" customFormat="1" x14ac:dyDescent="0.25">
      <c r="A485" s="68"/>
      <c r="B485" s="69"/>
      <c r="C485" s="71"/>
      <c r="D485" s="72"/>
      <c r="E485" s="72"/>
      <c r="F485" s="72"/>
      <c r="G485" s="492"/>
      <c r="H485" s="492"/>
      <c r="I485" s="492"/>
      <c r="J485" s="492"/>
      <c r="K485" s="492"/>
      <c r="L485" s="492"/>
      <c r="M485" s="492"/>
      <c r="N485" s="492"/>
      <c r="O485" s="74"/>
      <c r="P485" s="492"/>
      <c r="Q485" s="75"/>
      <c r="R485" s="95"/>
      <c r="S485" s="95"/>
      <c r="T485" s="95"/>
      <c r="U485" s="95"/>
      <c r="V485" s="95"/>
      <c r="W485" s="95"/>
      <c r="X485" s="650" t="s">
        <v>94</v>
      </c>
      <c r="Y485" s="448" t="s">
        <v>63</v>
      </c>
      <c r="Z485" s="471" t="s">
        <v>36</v>
      </c>
      <c r="AA485" s="453"/>
      <c r="AB485" s="542"/>
      <c r="AC485" s="454"/>
      <c r="AD485" s="669">
        <f>AD486+AD493+AD505+AD498</f>
        <v>5017.1000000000004</v>
      </c>
      <c r="AE485" s="669">
        <f>AE486+AE493+AE505+AE498</f>
        <v>4976</v>
      </c>
      <c r="AF485" s="669">
        <f>AF486+AF493+AF505+AF498</f>
        <v>4976</v>
      </c>
      <c r="AG485" s="205"/>
      <c r="AH485" s="205"/>
      <c r="AI485" s="502"/>
    </row>
    <row r="486" spans="1:35" s="103" customFormat="1" x14ac:dyDescent="0.25">
      <c r="A486" s="47"/>
      <c r="B486" s="78"/>
      <c r="C486" s="79"/>
      <c r="D486" s="79"/>
      <c r="E486" s="80"/>
      <c r="F486" s="79"/>
      <c r="G486" s="81"/>
      <c r="H486" s="81"/>
      <c r="I486" s="81"/>
      <c r="J486" s="81"/>
      <c r="K486" s="81"/>
      <c r="L486" s="73"/>
      <c r="M486" s="81"/>
      <c r="N486" s="73"/>
      <c r="O486" s="82"/>
      <c r="P486" s="81"/>
      <c r="Q486" s="83"/>
      <c r="R486" s="87"/>
      <c r="S486" s="87"/>
      <c r="T486" s="87"/>
      <c r="U486" s="87"/>
      <c r="V486" s="87"/>
      <c r="W486" s="87"/>
      <c r="X486" s="451" t="s">
        <v>55</v>
      </c>
      <c r="Y486" s="452" t="s">
        <v>63</v>
      </c>
      <c r="Z486" s="453">
        <v>10</v>
      </c>
      <c r="AA486" s="453" t="s">
        <v>29</v>
      </c>
      <c r="AB486" s="541"/>
      <c r="AC486" s="450"/>
      <c r="AD486" s="669">
        <f>AD487</f>
        <v>4010</v>
      </c>
      <c r="AE486" s="633">
        <f>AE487</f>
        <v>4010</v>
      </c>
      <c r="AF486" s="643">
        <f>AF487</f>
        <v>4010</v>
      </c>
      <c r="AG486" s="180"/>
      <c r="AH486" s="180"/>
      <c r="AI486" s="147"/>
    </row>
    <row r="487" spans="1:35" s="103" customFormat="1" x14ac:dyDescent="0.25">
      <c r="A487" s="89"/>
      <c r="B487" s="78"/>
      <c r="C487" s="79"/>
      <c r="D487" s="79"/>
      <c r="E487" s="80"/>
      <c r="F487" s="79"/>
      <c r="G487" s="81"/>
      <c r="H487" s="81"/>
      <c r="I487" s="81"/>
      <c r="J487" s="81"/>
      <c r="K487" s="81"/>
      <c r="L487" s="73"/>
      <c r="M487" s="81"/>
      <c r="N487" s="73"/>
      <c r="O487" s="82"/>
      <c r="P487" s="81"/>
      <c r="Q487" s="83"/>
      <c r="R487" s="87"/>
      <c r="S487" s="87"/>
      <c r="T487" s="87"/>
      <c r="U487" s="87"/>
      <c r="V487" s="87"/>
      <c r="W487" s="87"/>
      <c r="X487" s="457" t="s">
        <v>292</v>
      </c>
      <c r="Y487" s="452" t="s">
        <v>63</v>
      </c>
      <c r="Z487" s="453">
        <v>10</v>
      </c>
      <c r="AA487" s="453" t="s">
        <v>29</v>
      </c>
      <c r="AB487" s="542" t="s">
        <v>109</v>
      </c>
      <c r="AC487" s="450"/>
      <c r="AD487" s="669">
        <f>AD489</f>
        <v>4010</v>
      </c>
      <c r="AE487" s="633">
        <f>AE489</f>
        <v>4010</v>
      </c>
      <c r="AF487" s="643">
        <f>AF489</f>
        <v>4010</v>
      </c>
      <c r="AG487" s="180"/>
      <c r="AH487" s="180"/>
      <c r="AI487" s="147"/>
    </row>
    <row r="488" spans="1:35" s="103" customFormat="1" x14ac:dyDescent="0.25">
      <c r="A488" s="89"/>
      <c r="B488" s="78"/>
      <c r="C488" s="79"/>
      <c r="D488" s="79"/>
      <c r="E488" s="80"/>
      <c r="F488" s="79"/>
      <c r="G488" s="81"/>
      <c r="H488" s="81"/>
      <c r="I488" s="81"/>
      <c r="J488" s="81"/>
      <c r="K488" s="81"/>
      <c r="L488" s="73"/>
      <c r="M488" s="81"/>
      <c r="N488" s="73"/>
      <c r="O488" s="82"/>
      <c r="P488" s="81"/>
      <c r="Q488" s="83"/>
      <c r="R488" s="87"/>
      <c r="S488" s="87"/>
      <c r="T488" s="87"/>
      <c r="U488" s="87"/>
      <c r="V488" s="87"/>
      <c r="W488" s="87"/>
      <c r="X488" s="457" t="s">
        <v>293</v>
      </c>
      <c r="Y488" s="452" t="s">
        <v>63</v>
      </c>
      <c r="Z488" s="453">
        <v>10</v>
      </c>
      <c r="AA488" s="453" t="s">
        <v>29</v>
      </c>
      <c r="AB488" s="542" t="s">
        <v>118</v>
      </c>
      <c r="AC488" s="450"/>
      <c r="AD488" s="669">
        <f>AD489</f>
        <v>4010</v>
      </c>
      <c r="AE488" s="633">
        <f>AE489</f>
        <v>4010</v>
      </c>
      <c r="AF488" s="643">
        <f>AF489</f>
        <v>4010</v>
      </c>
      <c r="AG488" s="180"/>
      <c r="AH488" s="180"/>
      <c r="AI488" s="147"/>
    </row>
    <row r="489" spans="1:35" s="103" customFormat="1" ht="31.5" x14ac:dyDescent="0.25">
      <c r="A489" s="89"/>
      <c r="B489" s="78"/>
      <c r="C489" s="79"/>
      <c r="D489" s="79"/>
      <c r="E489" s="80"/>
      <c r="F489" s="79"/>
      <c r="G489" s="81"/>
      <c r="H489" s="81"/>
      <c r="I489" s="81"/>
      <c r="J489" s="81"/>
      <c r="K489" s="81"/>
      <c r="L489" s="73"/>
      <c r="M489" s="81"/>
      <c r="N489" s="73"/>
      <c r="O489" s="82"/>
      <c r="P489" s="81"/>
      <c r="Q489" s="83"/>
      <c r="R489" s="87"/>
      <c r="S489" s="87"/>
      <c r="T489" s="87"/>
      <c r="U489" s="87"/>
      <c r="V489" s="87"/>
      <c r="W489" s="87"/>
      <c r="X489" s="457" t="s">
        <v>465</v>
      </c>
      <c r="Y489" s="452" t="s">
        <v>63</v>
      </c>
      <c r="Z489" s="453">
        <v>10</v>
      </c>
      <c r="AA489" s="453" t="s">
        <v>29</v>
      </c>
      <c r="AB489" s="542" t="s">
        <v>464</v>
      </c>
      <c r="AC489" s="450"/>
      <c r="AD489" s="669">
        <f t="shared" ref="AD489:AF491" si="151">AD490</f>
        <v>4010</v>
      </c>
      <c r="AE489" s="633">
        <f t="shared" si="151"/>
        <v>4010</v>
      </c>
      <c r="AF489" s="643">
        <f t="shared" si="151"/>
        <v>4010</v>
      </c>
      <c r="AG489" s="180"/>
      <c r="AH489" s="180"/>
      <c r="AI489" s="147"/>
    </row>
    <row r="490" spans="1:35" s="103" customFormat="1" ht="31.5" x14ac:dyDescent="0.25">
      <c r="A490" s="89"/>
      <c r="B490" s="78"/>
      <c r="C490" s="79"/>
      <c r="D490" s="79"/>
      <c r="E490" s="80"/>
      <c r="F490" s="79"/>
      <c r="G490" s="81"/>
      <c r="H490" s="81"/>
      <c r="I490" s="81"/>
      <c r="J490" s="81"/>
      <c r="K490" s="81"/>
      <c r="L490" s="73"/>
      <c r="M490" s="81"/>
      <c r="N490" s="73"/>
      <c r="O490" s="82"/>
      <c r="P490" s="81"/>
      <c r="Q490" s="83"/>
      <c r="R490" s="87"/>
      <c r="S490" s="87"/>
      <c r="T490" s="87"/>
      <c r="U490" s="87"/>
      <c r="V490" s="87"/>
      <c r="W490" s="87"/>
      <c r="X490" s="466" t="s">
        <v>295</v>
      </c>
      <c r="Y490" s="452" t="s">
        <v>63</v>
      </c>
      <c r="Z490" s="453">
        <v>10</v>
      </c>
      <c r="AA490" s="453" t="s">
        <v>29</v>
      </c>
      <c r="AB490" s="542" t="s">
        <v>463</v>
      </c>
      <c r="AC490" s="450"/>
      <c r="AD490" s="669">
        <f t="shared" si="151"/>
        <v>4010</v>
      </c>
      <c r="AE490" s="633">
        <f t="shared" si="151"/>
        <v>4010</v>
      </c>
      <c r="AF490" s="643">
        <f t="shared" si="151"/>
        <v>4010</v>
      </c>
      <c r="AG490" s="180"/>
      <c r="AH490" s="180"/>
      <c r="AI490" s="147"/>
    </row>
    <row r="491" spans="1:35" s="103" customFormat="1" x14ac:dyDescent="0.25">
      <c r="A491" s="90"/>
      <c r="B491" s="78"/>
      <c r="C491" s="79"/>
      <c r="D491" s="79"/>
      <c r="E491" s="80"/>
      <c r="F491" s="79"/>
      <c r="G491" s="81"/>
      <c r="H491" s="105"/>
      <c r="I491" s="49"/>
      <c r="J491" s="49"/>
      <c r="K491" s="49"/>
      <c r="L491" s="73"/>
      <c r="M491" s="49"/>
      <c r="N491" s="73"/>
      <c r="O491" s="82"/>
      <c r="P491" s="81"/>
      <c r="Q491" s="83"/>
      <c r="R491" s="87"/>
      <c r="S491" s="87"/>
      <c r="T491" s="87"/>
      <c r="U491" s="87"/>
      <c r="V491" s="87"/>
      <c r="W491" s="105"/>
      <c r="X491" s="451" t="s">
        <v>97</v>
      </c>
      <c r="Y491" s="452" t="s">
        <v>63</v>
      </c>
      <c r="Z491" s="453">
        <v>10</v>
      </c>
      <c r="AA491" s="453" t="s">
        <v>29</v>
      </c>
      <c r="AB491" s="542" t="s">
        <v>463</v>
      </c>
      <c r="AC491" s="454">
        <v>300</v>
      </c>
      <c r="AD491" s="669">
        <f t="shared" si="151"/>
        <v>4010</v>
      </c>
      <c r="AE491" s="633">
        <f t="shared" si="151"/>
        <v>4010</v>
      </c>
      <c r="AF491" s="643">
        <f t="shared" si="151"/>
        <v>4010</v>
      </c>
      <c r="AG491" s="180"/>
      <c r="AH491" s="180"/>
      <c r="AI491" s="147"/>
    </row>
    <row r="492" spans="1:35" x14ac:dyDescent="0.25">
      <c r="A492" s="47"/>
      <c r="B492" s="78"/>
      <c r="C492" s="79"/>
      <c r="D492" s="79"/>
      <c r="E492" s="80"/>
      <c r="F492" s="80"/>
      <c r="G492" s="81"/>
      <c r="H492" s="81"/>
      <c r="I492" s="81"/>
      <c r="J492" s="81"/>
      <c r="K492" s="81"/>
      <c r="L492" s="73"/>
      <c r="M492" s="81"/>
      <c r="N492" s="73"/>
      <c r="O492" s="81"/>
      <c r="P492" s="81"/>
      <c r="Q492" s="83"/>
      <c r="R492" s="87"/>
      <c r="S492" s="87"/>
      <c r="T492" s="87"/>
      <c r="U492" s="87"/>
      <c r="V492" s="87"/>
      <c r="W492" s="87"/>
      <c r="X492" s="451" t="s">
        <v>40</v>
      </c>
      <c r="Y492" s="452" t="s">
        <v>63</v>
      </c>
      <c r="Z492" s="453">
        <v>10</v>
      </c>
      <c r="AA492" s="453" t="s">
        <v>29</v>
      </c>
      <c r="AB492" s="542" t="s">
        <v>463</v>
      </c>
      <c r="AC492" s="454">
        <v>320</v>
      </c>
      <c r="AD492" s="669">
        <v>4010</v>
      </c>
      <c r="AE492" s="633">
        <v>4010</v>
      </c>
      <c r="AF492" s="643">
        <v>4010</v>
      </c>
      <c r="AG492" s="180"/>
      <c r="AH492" s="180"/>
      <c r="AI492" s="147"/>
    </row>
    <row r="493" spans="1:35" x14ac:dyDescent="0.25">
      <c r="A493" s="491"/>
      <c r="B493" s="493"/>
      <c r="C493" s="494"/>
      <c r="D493" s="494"/>
      <c r="E493" s="495"/>
      <c r="F493" s="495"/>
      <c r="G493" s="496"/>
      <c r="H493" s="496"/>
      <c r="I493" s="496"/>
      <c r="J493" s="496"/>
      <c r="K493" s="496"/>
      <c r="L493" s="492"/>
      <c r="M493" s="496"/>
      <c r="N493" s="492"/>
      <c r="O493" s="496"/>
      <c r="P493" s="496"/>
      <c r="Q493" s="497"/>
      <c r="R493" s="498"/>
      <c r="S493" s="498"/>
      <c r="T493" s="498"/>
      <c r="U493" s="498"/>
      <c r="V493" s="498"/>
      <c r="W493" s="498"/>
      <c r="X493" s="451" t="s">
        <v>58</v>
      </c>
      <c r="Y493" s="452" t="s">
        <v>63</v>
      </c>
      <c r="Z493" s="453">
        <v>10</v>
      </c>
      <c r="AA493" s="453" t="s">
        <v>7</v>
      </c>
      <c r="AB493" s="541"/>
      <c r="AC493" s="454"/>
      <c r="AD493" s="669">
        <f>AD494</f>
        <v>331</v>
      </c>
      <c r="AE493" s="633">
        <f t="shared" ref="AE493:AF496" si="152">AE494</f>
        <v>0</v>
      </c>
      <c r="AF493" s="643">
        <f t="shared" si="152"/>
        <v>0</v>
      </c>
      <c r="AG493" s="506"/>
      <c r="AH493" s="506"/>
      <c r="AI493" s="502"/>
    </row>
    <row r="494" spans="1:35" x14ac:dyDescent="0.25">
      <c r="A494" s="491"/>
      <c r="B494" s="493"/>
      <c r="C494" s="494"/>
      <c r="D494" s="494"/>
      <c r="E494" s="495"/>
      <c r="F494" s="495"/>
      <c r="G494" s="496"/>
      <c r="H494" s="496"/>
      <c r="I494" s="496"/>
      <c r="J494" s="496"/>
      <c r="K494" s="496"/>
      <c r="L494" s="492"/>
      <c r="M494" s="496"/>
      <c r="N494" s="492"/>
      <c r="O494" s="496"/>
      <c r="P494" s="496"/>
      <c r="Q494" s="497"/>
      <c r="R494" s="498"/>
      <c r="S494" s="498"/>
      <c r="T494" s="498"/>
      <c r="U494" s="498"/>
      <c r="V494" s="498"/>
      <c r="W494" s="498"/>
      <c r="X494" s="451" t="s">
        <v>332</v>
      </c>
      <c r="Y494" s="452" t="s">
        <v>63</v>
      </c>
      <c r="Z494" s="453">
        <v>10</v>
      </c>
      <c r="AA494" s="453" t="s">
        <v>7</v>
      </c>
      <c r="AB494" s="546" t="s">
        <v>137</v>
      </c>
      <c r="AC494" s="570"/>
      <c r="AD494" s="669">
        <f>AD495</f>
        <v>331</v>
      </c>
      <c r="AE494" s="633">
        <f t="shared" si="152"/>
        <v>0</v>
      </c>
      <c r="AF494" s="643">
        <f t="shared" si="152"/>
        <v>0</v>
      </c>
      <c r="AG494" s="506"/>
      <c r="AH494" s="506"/>
      <c r="AI494" s="502"/>
    </row>
    <row r="495" spans="1:35" x14ac:dyDescent="0.25">
      <c r="A495" s="491"/>
      <c r="B495" s="493"/>
      <c r="C495" s="494"/>
      <c r="D495" s="494"/>
      <c r="E495" s="495"/>
      <c r="F495" s="495"/>
      <c r="G495" s="496"/>
      <c r="H495" s="496"/>
      <c r="I495" s="496"/>
      <c r="J495" s="496"/>
      <c r="K495" s="496"/>
      <c r="L495" s="492"/>
      <c r="M495" s="496"/>
      <c r="N495" s="492"/>
      <c r="O495" s="496"/>
      <c r="P495" s="496"/>
      <c r="Q495" s="497"/>
      <c r="R495" s="498"/>
      <c r="S495" s="498"/>
      <c r="T495" s="498"/>
      <c r="U495" s="498"/>
      <c r="V495" s="498"/>
      <c r="W495" s="498"/>
      <c r="X495" s="465" t="s">
        <v>612</v>
      </c>
      <c r="Y495" s="452" t="s">
        <v>63</v>
      </c>
      <c r="Z495" s="453">
        <v>10</v>
      </c>
      <c r="AA495" s="453" t="s">
        <v>7</v>
      </c>
      <c r="AB495" s="542" t="s">
        <v>611</v>
      </c>
      <c r="AC495" s="570"/>
      <c r="AD495" s="669">
        <f>AD496</f>
        <v>331</v>
      </c>
      <c r="AE495" s="633">
        <f t="shared" si="152"/>
        <v>0</v>
      </c>
      <c r="AF495" s="643">
        <f t="shared" si="152"/>
        <v>0</v>
      </c>
      <c r="AG495" s="506"/>
      <c r="AH495" s="506"/>
      <c r="AI495" s="502"/>
    </row>
    <row r="496" spans="1:35" x14ac:dyDescent="0.25">
      <c r="A496" s="491"/>
      <c r="B496" s="493"/>
      <c r="C496" s="494"/>
      <c r="D496" s="494"/>
      <c r="E496" s="495"/>
      <c r="F496" s="495"/>
      <c r="G496" s="496"/>
      <c r="H496" s="496"/>
      <c r="I496" s="496"/>
      <c r="J496" s="496"/>
      <c r="K496" s="496"/>
      <c r="L496" s="492"/>
      <c r="M496" s="496"/>
      <c r="N496" s="492"/>
      <c r="O496" s="496"/>
      <c r="P496" s="496"/>
      <c r="Q496" s="497"/>
      <c r="R496" s="498"/>
      <c r="S496" s="498"/>
      <c r="T496" s="498"/>
      <c r="U496" s="498"/>
      <c r="V496" s="498"/>
      <c r="W496" s="498"/>
      <c r="X496" s="451" t="s">
        <v>97</v>
      </c>
      <c r="Y496" s="452" t="s">
        <v>63</v>
      </c>
      <c r="Z496" s="453">
        <v>10</v>
      </c>
      <c r="AA496" s="453" t="s">
        <v>7</v>
      </c>
      <c r="AB496" s="542" t="s">
        <v>611</v>
      </c>
      <c r="AC496" s="454">
        <v>300</v>
      </c>
      <c r="AD496" s="669">
        <f>AD497</f>
        <v>331</v>
      </c>
      <c r="AE496" s="633">
        <f t="shared" si="152"/>
        <v>0</v>
      </c>
      <c r="AF496" s="643">
        <f t="shared" si="152"/>
        <v>0</v>
      </c>
      <c r="AG496" s="506"/>
      <c r="AH496" s="506"/>
      <c r="AI496" s="502"/>
    </row>
    <row r="497" spans="1:35" x14ac:dyDescent="0.25">
      <c r="A497" s="491"/>
      <c r="B497" s="493"/>
      <c r="C497" s="494"/>
      <c r="D497" s="494"/>
      <c r="E497" s="495"/>
      <c r="F497" s="495"/>
      <c r="G497" s="496"/>
      <c r="H497" s="496"/>
      <c r="I497" s="496"/>
      <c r="J497" s="496"/>
      <c r="K497" s="496"/>
      <c r="L497" s="492"/>
      <c r="M497" s="496"/>
      <c r="N497" s="492"/>
      <c r="O497" s="496"/>
      <c r="P497" s="496"/>
      <c r="Q497" s="497"/>
      <c r="R497" s="498"/>
      <c r="S497" s="498"/>
      <c r="T497" s="498"/>
      <c r="U497" s="498"/>
      <c r="V497" s="498"/>
      <c r="W497" s="498"/>
      <c r="X497" s="375" t="s">
        <v>131</v>
      </c>
      <c r="Y497" s="452" t="s">
        <v>63</v>
      </c>
      <c r="Z497" s="453">
        <v>10</v>
      </c>
      <c r="AA497" s="453" t="s">
        <v>7</v>
      </c>
      <c r="AB497" s="542" t="s">
        <v>611</v>
      </c>
      <c r="AC497" s="454">
        <v>310</v>
      </c>
      <c r="AD497" s="669">
        <v>331</v>
      </c>
      <c r="AE497" s="633">
        <v>0</v>
      </c>
      <c r="AF497" s="643">
        <v>0</v>
      </c>
      <c r="AG497" s="506"/>
      <c r="AH497" s="506"/>
      <c r="AI497" s="502"/>
    </row>
    <row r="498" spans="1:35" x14ac:dyDescent="0.25">
      <c r="A498" s="491"/>
      <c r="B498" s="493"/>
      <c r="C498" s="494"/>
      <c r="D498" s="494"/>
      <c r="E498" s="495"/>
      <c r="F498" s="495"/>
      <c r="G498" s="496"/>
      <c r="H498" s="496"/>
      <c r="I498" s="496"/>
      <c r="J498" s="496"/>
      <c r="K498" s="496"/>
      <c r="L498" s="492"/>
      <c r="M498" s="496"/>
      <c r="N498" s="492"/>
      <c r="O498" s="496"/>
      <c r="P498" s="496"/>
      <c r="Q498" s="497"/>
      <c r="R498" s="498"/>
      <c r="S498" s="498"/>
      <c r="T498" s="498"/>
      <c r="U498" s="498"/>
      <c r="V498" s="498"/>
      <c r="W498" s="498"/>
      <c r="X498" s="451" t="s">
        <v>31</v>
      </c>
      <c r="Y498" s="452" t="s">
        <v>63</v>
      </c>
      <c r="Z498" s="453">
        <v>10</v>
      </c>
      <c r="AA498" s="453" t="s">
        <v>49</v>
      </c>
      <c r="AB498" s="542"/>
      <c r="AC498" s="454"/>
      <c r="AD498" s="669">
        <f t="shared" ref="AD498:AD503" si="153">AD499</f>
        <v>536.1</v>
      </c>
      <c r="AE498" s="669">
        <f t="shared" ref="AE498:AF503" si="154">AE499</f>
        <v>826</v>
      </c>
      <c r="AF498" s="669">
        <f t="shared" si="154"/>
        <v>826</v>
      </c>
      <c r="AG498" s="506"/>
      <c r="AH498" s="506"/>
      <c r="AI498" s="502"/>
    </row>
    <row r="499" spans="1:35" x14ac:dyDescent="0.25">
      <c r="A499" s="491"/>
      <c r="B499" s="493"/>
      <c r="C499" s="494"/>
      <c r="D499" s="494"/>
      <c r="E499" s="495"/>
      <c r="F499" s="495"/>
      <c r="G499" s="496"/>
      <c r="H499" s="496"/>
      <c r="I499" s="496"/>
      <c r="J499" s="496"/>
      <c r="K499" s="496"/>
      <c r="L499" s="492"/>
      <c r="M499" s="496"/>
      <c r="N499" s="492"/>
      <c r="O499" s="496"/>
      <c r="P499" s="496"/>
      <c r="Q499" s="497"/>
      <c r="R499" s="498"/>
      <c r="S499" s="498"/>
      <c r="T499" s="498"/>
      <c r="U499" s="498"/>
      <c r="V499" s="498"/>
      <c r="W499" s="498"/>
      <c r="X499" s="459" t="s">
        <v>262</v>
      </c>
      <c r="Y499" s="452" t="s">
        <v>63</v>
      </c>
      <c r="Z499" s="453">
        <v>10</v>
      </c>
      <c r="AA499" s="453" t="s">
        <v>49</v>
      </c>
      <c r="AB499" s="541" t="s">
        <v>100</v>
      </c>
      <c r="AC499" s="454"/>
      <c r="AD499" s="669">
        <f t="shared" si="153"/>
        <v>536.1</v>
      </c>
      <c r="AE499" s="669">
        <f t="shared" si="154"/>
        <v>826</v>
      </c>
      <c r="AF499" s="669">
        <f t="shared" si="154"/>
        <v>826</v>
      </c>
      <c r="AG499" s="506"/>
      <c r="AH499" s="506"/>
      <c r="AI499" s="502"/>
    </row>
    <row r="500" spans="1:35" x14ac:dyDescent="0.25">
      <c r="A500" s="491"/>
      <c r="B500" s="493"/>
      <c r="C500" s="494"/>
      <c r="D500" s="494"/>
      <c r="E500" s="495"/>
      <c r="F500" s="495"/>
      <c r="G500" s="496"/>
      <c r="H500" s="496"/>
      <c r="I500" s="496"/>
      <c r="J500" s="496"/>
      <c r="K500" s="496"/>
      <c r="L500" s="492"/>
      <c r="M500" s="496"/>
      <c r="N500" s="492"/>
      <c r="O500" s="496"/>
      <c r="P500" s="496"/>
      <c r="Q500" s="497"/>
      <c r="R500" s="498"/>
      <c r="S500" s="498"/>
      <c r="T500" s="498"/>
      <c r="U500" s="498"/>
      <c r="V500" s="498"/>
      <c r="W500" s="498"/>
      <c r="X500" s="459" t="s">
        <v>515</v>
      </c>
      <c r="Y500" s="452" t="s">
        <v>63</v>
      </c>
      <c r="Z500" s="453">
        <v>10</v>
      </c>
      <c r="AA500" s="453" t="s">
        <v>49</v>
      </c>
      <c r="AB500" s="541" t="s">
        <v>117</v>
      </c>
      <c r="AC500" s="454"/>
      <c r="AD500" s="669">
        <f t="shared" si="153"/>
        <v>536.1</v>
      </c>
      <c r="AE500" s="669">
        <f t="shared" si="154"/>
        <v>826</v>
      </c>
      <c r="AF500" s="669">
        <f t="shared" si="154"/>
        <v>826</v>
      </c>
      <c r="AG500" s="506"/>
      <c r="AH500" s="506"/>
      <c r="AI500" s="502"/>
    </row>
    <row r="501" spans="1:35" ht="31.5" x14ac:dyDescent="0.25">
      <c r="A501" s="491"/>
      <c r="B501" s="493"/>
      <c r="C501" s="494"/>
      <c r="D501" s="494"/>
      <c r="E501" s="495"/>
      <c r="F501" s="495"/>
      <c r="G501" s="496"/>
      <c r="H501" s="496"/>
      <c r="I501" s="496"/>
      <c r="J501" s="496"/>
      <c r="K501" s="496"/>
      <c r="L501" s="492"/>
      <c r="M501" s="496"/>
      <c r="N501" s="492"/>
      <c r="O501" s="496"/>
      <c r="P501" s="496"/>
      <c r="Q501" s="497"/>
      <c r="R501" s="498"/>
      <c r="S501" s="498"/>
      <c r="T501" s="498"/>
      <c r="U501" s="498"/>
      <c r="V501" s="498"/>
      <c r="W501" s="498"/>
      <c r="X501" s="459" t="s">
        <v>266</v>
      </c>
      <c r="Y501" s="452" t="s">
        <v>63</v>
      </c>
      <c r="Z501" s="453">
        <v>10</v>
      </c>
      <c r="AA501" s="453" t="s">
        <v>49</v>
      </c>
      <c r="AB501" s="542" t="s">
        <v>446</v>
      </c>
      <c r="AC501" s="454"/>
      <c r="AD501" s="669">
        <f t="shared" si="153"/>
        <v>536.1</v>
      </c>
      <c r="AE501" s="669">
        <f t="shared" si="154"/>
        <v>826</v>
      </c>
      <c r="AF501" s="669">
        <f t="shared" si="154"/>
        <v>826</v>
      </c>
      <c r="AG501" s="506"/>
      <c r="AH501" s="506"/>
      <c r="AI501" s="502"/>
    </row>
    <row r="502" spans="1:35" ht="47.25" x14ac:dyDescent="0.25">
      <c r="A502" s="491"/>
      <c r="B502" s="493"/>
      <c r="C502" s="494"/>
      <c r="D502" s="494"/>
      <c r="E502" s="495"/>
      <c r="F502" s="495"/>
      <c r="G502" s="496"/>
      <c r="H502" s="496"/>
      <c r="I502" s="496"/>
      <c r="J502" s="496"/>
      <c r="K502" s="496"/>
      <c r="L502" s="492"/>
      <c r="M502" s="496"/>
      <c r="N502" s="492"/>
      <c r="O502" s="496"/>
      <c r="P502" s="496"/>
      <c r="Q502" s="497"/>
      <c r="R502" s="498"/>
      <c r="S502" s="498"/>
      <c r="T502" s="498"/>
      <c r="U502" s="498"/>
      <c r="V502" s="498"/>
      <c r="W502" s="498"/>
      <c r="X502" s="659" t="s">
        <v>263</v>
      </c>
      <c r="Y502" s="452" t="s">
        <v>63</v>
      </c>
      <c r="Z502" s="453">
        <v>10</v>
      </c>
      <c r="AA502" s="453" t="s">
        <v>49</v>
      </c>
      <c r="AB502" s="542" t="s">
        <v>466</v>
      </c>
      <c r="AC502" s="454"/>
      <c r="AD502" s="669">
        <f t="shared" si="153"/>
        <v>536.1</v>
      </c>
      <c r="AE502" s="669">
        <f t="shared" si="154"/>
        <v>826</v>
      </c>
      <c r="AF502" s="669">
        <f t="shared" si="154"/>
        <v>826</v>
      </c>
      <c r="AG502" s="506"/>
      <c r="AH502" s="506"/>
      <c r="AI502" s="502"/>
    </row>
    <row r="503" spans="1:35" ht="47.25" x14ac:dyDescent="0.25">
      <c r="A503" s="491"/>
      <c r="B503" s="493"/>
      <c r="C503" s="494"/>
      <c r="D503" s="494"/>
      <c r="E503" s="495"/>
      <c r="F503" s="495"/>
      <c r="G503" s="496"/>
      <c r="H503" s="496"/>
      <c r="I503" s="496"/>
      <c r="J503" s="496"/>
      <c r="K503" s="496"/>
      <c r="L503" s="492"/>
      <c r="M503" s="496"/>
      <c r="N503" s="492"/>
      <c r="O503" s="496"/>
      <c r="P503" s="496"/>
      <c r="Q503" s="497"/>
      <c r="R503" s="498"/>
      <c r="S503" s="498"/>
      <c r="T503" s="498"/>
      <c r="U503" s="498"/>
      <c r="V503" s="498"/>
      <c r="W503" s="498"/>
      <c r="X503" s="451" t="s">
        <v>41</v>
      </c>
      <c r="Y503" s="452" t="s">
        <v>63</v>
      </c>
      <c r="Z503" s="453">
        <v>10</v>
      </c>
      <c r="AA503" s="453" t="s">
        <v>49</v>
      </c>
      <c r="AB503" s="542" t="s">
        <v>466</v>
      </c>
      <c r="AC503" s="454">
        <v>100</v>
      </c>
      <c r="AD503" s="669">
        <f t="shared" si="153"/>
        <v>536.1</v>
      </c>
      <c r="AE503" s="669">
        <f t="shared" si="154"/>
        <v>826</v>
      </c>
      <c r="AF503" s="669">
        <f t="shared" si="154"/>
        <v>826</v>
      </c>
      <c r="AG503" s="506"/>
      <c r="AH503" s="506"/>
      <c r="AI503" s="502"/>
    </row>
    <row r="504" spans="1:35" x14ac:dyDescent="0.25">
      <c r="A504" s="491"/>
      <c r="B504" s="493"/>
      <c r="C504" s="494"/>
      <c r="D504" s="494"/>
      <c r="E504" s="495"/>
      <c r="F504" s="495"/>
      <c r="G504" s="496"/>
      <c r="H504" s="496"/>
      <c r="I504" s="496"/>
      <c r="J504" s="496"/>
      <c r="K504" s="496"/>
      <c r="L504" s="492"/>
      <c r="M504" s="496"/>
      <c r="N504" s="492"/>
      <c r="O504" s="496"/>
      <c r="P504" s="496"/>
      <c r="Q504" s="497"/>
      <c r="R504" s="498"/>
      <c r="S504" s="498"/>
      <c r="T504" s="498"/>
      <c r="U504" s="498"/>
      <c r="V504" s="498"/>
      <c r="W504" s="498"/>
      <c r="X504" s="451" t="s">
        <v>68</v>
      </c>
      <c r="Y504" s="452" t="s">
        <v>63</v>
      </c>
      <c r="Z504" s="453">
        <v>10</v>
      </c>
      <c r="AA504" s="453" t="s">
        <v>49</v>
      </c>
      <c r="AB504" s="542" t="s">
        <v>466</v>
      </c>
      <c r="AC504" s="454">
        <v>110</v>
      </c>
      <c r="AD504" s="669">
        <v>536.1</v>
      </c>
      <c r="AE504" s="633">
        <v>826</v>
      </c>
      <c r="AF504" s="643">
        <v>826</v>
      </c>
      <c r="AG504" s="506"/>
      <c r="AH504" s="506"/>
      <c r="AI504" s="502"/>
    </row>
    <row r="505" spans="1:35" x14ac:dyDescent="0.25">
      <c r="A505" s="88"/>
      <c r="B505" s="78"/>
      <c r="C505" s="79"/>
      <c r="D505" s="79"/>
      <c r="E505" s="80"/>
      <c r="F505" s="80"/>
      <c r="G505" s="81"/>
      <c r="H505" s="81"/>
      <c r="I505" s="81"/>
      <c r="J505" s="81"/>
      <c r="K505" s="81"/>
      <c r="L505" s="73"/>
      <c r="M505" s="81"/>
      <c r="N505" s="73"/>
      <c r="O505" s="92"/>
      <c r="P505" s="81"/>
      <c r="Q505" s="83"/>
      <c r="R505" s="126"/>
      <c r="S505" s="83"/>
      <c r="T505" s="83"/>
      <c r="U505" s="83"/>
      <c r="V505" s="83"/>
      <c r="W505" s="83"/>
      <c r="X505" s="451" t="s">
        <v>33</v>
      </c>
      <c r="Y505" s="452" t="s">
        <v>63</v>
      </c>
      <c r="Z505" s="453">
        <v>10</v>
      </c>
      <c r="AA505" s="453" t="s">
        <v>95</v>
      </c>
      <c r="AB505" s="541"/>
      <c r="AC505" s="482"/>
      <c r="AD505" s="669">
        <f t="shared" ref="AD505:AF506" si="155">AD506</f>
        <v>140</v>
      </c>
      <c r="AE505" s="633">
        <f t="shared" si="155"/>
        <v>140</v>
      </c>
      <c r="AF505" s="643">
        <f t="shared" si="155"/>
        <v>140</v>
      </c>
      <c r="AG505" s="180"/>
      <c r="AH505" s="180"/>
      <c r="AI505" s="147"/>
    </row>
    <row r="506" spans="1:35" x14ac:dyDescent="0.25">
      <c r="A506" s="47"/>
      <c r="B506" s="78"/>
      <c r="C506" s="79"/>
      <c r="D506" s="79"/>
      <c r="E506" s="80"/>
      <c r="F506" s="80"/>
      <c r="G506" s="81"/>
      <c r="H506" s="81"/>
      <c r="I506" s="81"/>
      <c r="J506" s="81"/>
      <c r="K506" s="81"/>
      <c r="L506" s="81"/>
      <c r="M506" s="81"/>
      <c r="N506" s="81"/>
      <c r="O506" s="92"/>
      <c r="P506" s="81"/>
      <c r="Q506" s="83"/>
      <c r="R506" s="126"/>
      <c r="S506" s="83"/>
      <c r="T506" s="83"/>
      <c r="U506" s="83"/>
      <c r="V506" s="83"/>
      <c r="W506" s="83"/>
      <c r="X506" s="457" t="s">
        <v>292</v>
      </c>
      <c r="Y506" s="452" t="s">
        <v>63</v>
      </c>
      <c r="Z506" s="453">
        <v>10</v>
      </c>
      <c r="AA506" s="453" t="s">
        <v>95</v>
      </c>
      <c r="AB506" s="542" t="s">
        <v>109</v>
      </c>
      <c r="AC506" s="482"/>
      <c r="AD506" s="669">
        <f>AD507</f>
        <v>140</v>
      </c>
      <c r="AE506" s="633">
        <f t="shared" si="155"/>
        <v>140</v>
      </c>
      <c r="AF506" s="643">
        <f t="shared" si="155"/>
        <v>140</v>
      </c>
      <c r="AG506" s="180"/>
      <c r="AH506" s="180"/>
      <c r="AI506" s="147"/>
    </row>
    <row r="507" spans="1:35" ht="31.5" x14ac:dyDescent="0.25">
      <c r="A507" s="47"/>
      <c r="B507" s="78"/>
      <c r="C507" s="79"/>
      <c r="D507" s="79"/>
      <c r="E507" s="80"/>
      <c r="F507" s="80"/>
      <c r="G507" s="81"/>
      <c r="H507" s="81"/>
      <c r="I507" s="81"/>
      <c r="J507" s="81"/>
      <c r="K507" s="81"/>
      <c r="L507" s="81"/>
      <c r="M507" s="81"/>
      <c r="N507" s="81"/>
      <c r="O507" s="92"/>
      <c r="P507" s="81"/>
      <c r="Q507" s="83"/>
      <c r="R507" s="126"/>
      <c r="S507" s="83"/>
      <c r="T507" s="83"/>
      <c r="U507" s="83"/>
      <c r="V507" s="83"/>
      <c r="W507" s="83"/>
      <c r="X507" s="457" t="s">
        <v>343</v>
      </c>
      <c r="Y507" s="452" t="s">
        <v>63</v>
      </c>
      <c r="Z507" s="453">
        <v>10</v>
      </c>
      <c r="AA507" s="453" t="s">
        <v>95</v>
      </c>
      <c r="AB507" s="542" t="s">
        <v>520</v>
      </c>
      <c r="AC507" s="482"/>
      <c r="AD507" s="669">
        <f>AD508</f>
        <v>140</v>
      </c>
      <c r="AE507" s="633">
        <f>AE508</f>
        <v>140</v>
      </c>
      <c r="AF507" s="643">
        <f>AF508</f>
        <v>140</v>
      </c>
      <c r="AG507" s="180"/>
      <c r="AH507" s="180"/>
      <c r="AI507" s="147"/>
    </row>
    <row r="508" spans="1:35" x14ac:dyDescent="0.25">
      <c r="A508" s="47"/>
      <c r="B508" s="78"/>
      <c r="C508" s="79"/>
      <c r="D508" s="79"/>
      <c r="E508" s="80"/>
      <c r="F508" s="80"/>
      <c r="G508" s="81"/>
      <c r="H508" s="81"/>
      <c r="I508" s="81"/>
      <c r="J508" s="81"/>
      <c r="K508" s="81"/>
      <c r="L508" s="81"/>
      <c r="M508" s="81"/>
      <c r="N508" s="81"/>
      <c r="O508" s="92"/>
      <c r="P508" s="81"/>
      <c r="Q508" s="83"/>
      <c r="R508" s="126"/>
      <c r="S508" s="83"/>
      <c r="T508" s="83"/>
      <c r="U508" s="83"/>
      <c r="V508" s="83"/>
      <c r="W508" s="83"/>
      <c r="X508" s="661" t="s">
        <v>522</v>
      </c>
      <c r="Y508" s="452" t="s">
        <v>63</v>
      </c>
      <c r="Z508" s="453">
        <v>10</v>
      </c>
      <c r="AA508" s="453" t="s">
        <v>95</v>
      </c>
      <c r="AB508" s="542" t="s">
        <v>521</v>
      </c>
      <c r="AC508" s="482"/>
      <c r="AD508" s="669">
        <f>AD512+AD509</f>
        <v>140</v>
      </c>
      <c r="AE508" s="633">
        <f>AE512+AE509</f>
        <v>140</v>
      </c>
      <c r="AF508" s="643">
        <f>AF512+AF509</f>
        <v>140</v>
      </c>
      <c r="AG508" s="180"/>
      <c r="AH508" s="180"/>
      <c r="AI508" s="147"/>
    </row>
    <row r="509" spans="1:35" x14ac:dyDescent="0.25">
      <c r="A509" s="47"/>
      <c r="B509" s="78"/>
      <c r="C509" s="79"/>
      <c r="D509" s="79"/>
      <c r="E509" s="80"/>
      <c r="F509" s="80"/>
      <c r="G509" s="81"/>
      <c r="H509" s="81"/>
      <c r="I509" s="81"/>
      <c r="J509" s="81"/>
      <c r="K509" s="81"/>
      <c r="L509" s="81"/>
      <c r="M509" s="81"/>
      <c r="N509" s="81"/>
      <c r="O509" s="92"/>
      <c r="P509" s="81"/>
      <c r="Q509" s="83"/>
      <c r="R509" s="126"/>
      <c r="S509" s="83"/>
      <c r="T509" s="83"/>
      <c r="U509" s="83"/>
      <c r="V509" s="83"/>
      <c r="W509" s="83"/>
      <c r="X509" s="659" t="s">
        <v>593</v>
      </c>
      <c r="Y509" s="452" t="s">
        <v>63</v>
      </c>
      <c r="Z509" s="453">
        <v>10</v>
      </c>
      <c r="AA509" s="453" t="s">
        <v>95</v>
      </c>
      <c r="AB509" s="542" t="s">
        <v>594</v>
      </c>
      <c r="AC509" s="573"/>
      <c r="AD509" s="673">
        <f t="shared" ref="AD509:AF510" si="156">AD510</f>
        <v>70</v>
      </c>
      <c r="AE509" s="637">
        <f t="shared" si="156"/>
        <v>70</v>
      </c>
      <c r="AF509" s="647">
        <f t="shared" si="156"/>
        <v>70</v>
      </c>
      <c r="AG509" s="180"/>
      <c r="AH509" s="180"/>
      <c r="AI509" s="147"/>
    </row>
    <row r="510" spans="1:35" ht="31.5" x14ac:dyDescent="0.25">
      <c r="A510" s="47"/>
      <c r="B510" s="78"/>
      <c r="C510" s="79"/>
      <c r="D510" s="79"/>
      <c r="E510" s="80"/>
      <c r="F510" s="80"/>
      <c r="G510" s="81"/>
      <c r="H510" s="81"/>
      <c r="I510" s="81"/>
      <c r="J510" s="81"/>
      <c r="K510" s="81"/>
      <c r="L510" s="81"/>
      <c r="M510" s="81"/>
      <c r="N510" s="81"/>
      <c r="O510" s="92"/>
      <c r="P510" s="81"/>
      <c r="Q510" s="83"/>
      <c r="R510" s="126"/>
      <c r="S510" s="83"/>
      <c r="T510" s="83"/>
      <c r="U510" s="83"/>
      <c r="V510" s="83"/>
      <c r="W510" s="83"/>
      <c r="X510" s="651" t="s">
        <v>60</v>
      </c>
      <c r="Y510" s="452" t="s">
        <v>63</v>
      </c>
      <c r="Z510" s="453">
        <v>10</v>
      </c>
      <c r="AA510" s="453" t="s">
        <v>95</v>
      </c>
      <c r="AB510" s="542" t="s">
        <v>594</v>
      </c>
      <c r="AC510" s="573">
        <v>600</v>
      </c>
      <c r="AD510" s="673">
        <f t="shared" si="156"/>
        <v>70</v>
      </c>
      <c r="AE510" s="637">
        <f t="shared" si="156"/>
        <v>70</v>
      </c>
      <c r="AF510" s="647">
        <f t="shared" si="156"/>
        <v>70</v>
      </c>
      <c r="AG510" s="180"/>
      <c r="AH510" s="180"/>
      <c r="AI510" s="147"/>
    </row>
    <row r="511" spans="1:35" ht="47.25" x14ac:dyDescent="0.25">
      <c r="A511" s="47"/>
      <c r="B511" s="78"/>
      <c r="C511" s="79"/>
      <c r="D511" s="79"/>
      <c r="E511" s="80"/>
      <c r="F511" s="80"/>
      <c r="G511" s="81"/>
      <c r="H511" s="81"/>
      <c r="I511" s="81"/>
      <c r="J511" s="81"/>
      <c r="K511" s="81"/>
      <c r="L511" s="81"/>
      <c r="M511" s="81"/>
      <c r="N511" s="81"/>
      <c r="O511" s="92"/>
      <c r="P511" s="81"/>
      <c r="Q511" s="83"/>
      <c r="R511" s="126"/>
      <c r="S511" s="83"/>
      <c r="T511" s="83"/>
      <c r="U511" s="83"/>
      <c r="V511" s="83"/>
      <c r="W511" s="83"/>
      <c r="X511" s="663" t="s">
        <v>407</v>
      </c>
      <c r="Y511" s="452" t="s">
        <v>63</v>
      </c>
      <c r="Z511" s="453">
        <v>10</v>
      </c>
      <c r="AA511" s="453" t="s">
        <v>95</v>
      </c>
      <c r="AB511" s="542" t="s">
        <v>594</v>
      </c>
      <c r="AC511" s="573">
        <v>630</v>
      </c>
      <c r="AD511" s="673">
        <f>70</f>
        <v>70</v>
      </c>
      <c r="AE511" s="637">
        <v>70</v>
      </c>
      <c r="AF511" s="647">
        <v>70</v>
      </c>
      <c r="AG511" s="180"/>
      <c r="AH511" s="180"/>
      <c r="AI511" s="147"/>
    </row>
    <row r="512" spans="1:35" ht="31.5" x14ac:dyDescent="0.25">
      <c r="A512" s="47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81"/>
      <c r="M512" s="81"/>
      <c r="N512" s="81"/>
      <c r="O512" s="92"/>
      <c r="P512" s="81"/>
      <c r="Q512" s="83"/>
      <c r="R512" s="126"/>
      <c r="S512" s="83"/>
      <c r="T512" s="83"/>
      <c r="U512" s="83"/>
      <c r="V512" s="83"/>
      <c r="W512" s="83"/>
      <c r="X512" s="659" t="s">
        <v>574</v>
      </c>
      <c r="Y512" s="452" t="s">
        <v>63</v>
      </c>
      <c r="Z512" s="453">
        <v>10</v>
      </c>
      <c r="AA512" s="453" t="s">
        <v>95</v>
      </c>
      <c r="AB512" s="542" t="s">
        <v>575</v>
      </c>
      <c r="AC512" s="573"/>
      <c r="AD512" s="673">
        <f t="shared" ref="AD512:AF513" si="157">AD513</f>
        <v>70</v>
      </c>
      <c r="AE512" s="637">
        <f t="shared" si="157"/>
        <v>70</v>
      </c>
      <c r="AF512" s="647">
        <f t="shared" si="157"/>
        <v>70</v>
      </c>
      <c r="AG512" s="84"/>
      <c r="AH512" s="84"/>
      <c r="AI512" s="147"/>
    </row>
    <row r="513" spans="1:35" ht="31.5" x14ac:dyDescent="0.25">
      <c r="A513" s="47"/>
      <c r="B513" s="78"/>
      <c r="C513" s="79"/>
      <c r="D513" s="79"/>
      <c r="E513" s="80"/>
      <c r="F513" s="80"/>
      <c r="G513" s="81"/>
      <c r="H513" s="81"/>
      <c r="I513" s="81"/>
      <c r="J513" s="81"/>
      <c r="K513" s="81"/>
      <c r="L513" s="81"/>
      <c r="M513" s="81"/>
      <c r="N513" s="81"/>
      <c r="O513" s="92"/>
      <c r="P513" s="81"/>
      <c r="Q513" s="83"/>
      <c r="R513" s="126"/>
      <c r="S513" s="83"/>
      <c r="T513" s="83"/>
      <c r="U513" s="83"/>
      <c r="V513" s="83"/>
      <c r="W513" s="83"/>
      <c r="X513" s="651" t="s">
        <v>60</v>
      </c>
      <c r="Y513" s="452" t="s">
        <v>63</v>
      </c>
      <c r="Z513" s="453">
        <v>10</v>
      </c>
      <c r="AA513" s="453" t="s">
        <v>95</v>
      </c>
      <c r="AB513" s="542" t="s">
        <v>575</v>
      </c>
      <c r="AC513" s="573">
        <v>600</v>
      </c>
      <c r="AD513" s="673">
        <f t="shared" si="157"/>
        <v>70</v>
      </c>
      <c r="AE513" s="637">
        <f t="shared" si="157"/>
        <v>70</v>
      </c>
      <c r="AF513" s="647">
        <f t="shared" si="157"/>
        <v>70</v>
      </c>
      <c r="AG513" s="84"/>
      <c r="AH513" s="84"/>
      <c r="AI513" s="147"/>
    </row>
    <row r="514" spans="1:35" ht="35.25" customHeight="1" x14ac:dyDescent="0.25">
      <c r="A514" s="47"/>
      <c r="B514" s="78"/>
      <c r="C514" s="79"/>
      <c r="D514" s="79"/>
      <c r="E514" s="80"/>
      <c r="F514" s="80"/>
      <c r="G514" s="81"/>
      <c r="H514" s="81"/>
      <c r="I514" s="81"/>
      <c r="J514" s="81"/>
      <c r="K514" s="81"/>
      <c r="L514" s="81"/>
      <c r="M514" s="81"/>
      <c r="N514" s="81"/>
      <c r="O514" s="92"/>
      <c r="P514" s="81"/>
      <c r="Q514" s="83"/>
      <c r="R514" s="126"/>
      <c r="S514" s="83"/>
      <c r="T514" s="83"/>
      <c r="U514" s="83"/>
      <c r="V514" s="83"/>
      <c r="W514" s="83"/>
      <c r="X514" s="651" t="s">
        <v>407</v>
      </c>
      <c r="Y514" s="452" t="s">
        <v>63</v>
      </c>
      <c r="Z514" s="453">
        <v>10</v>
      </c>
      <c r="AA514" s="453" t="s">
        <v>95</v>
      </c>
      <c r="AB514" s="542" t="s">
        <v>575</v>
      </c>
      <c r="AC514" s="573">
        <v>630</v>
      </c>
      <c r="AD514" s="673">
        <v>70</v>
      </c>
      <c r="AE514" s="637">
        <v>70</v>
      </c>
      <c r="AF514" s="647">
        <v>70</v>
      </c>
      <c r="AG514" s="84"/>
      <c r="AH514" s="84"/>
      <c r="AI514" s="147"/>
    </row>
    <row r="515" spans="1:35" s="96" customFormat="1" x14ac:dyDescent="0.25">
      <c r="A515" s="68"/>
      <c r="B515" s="69"/>
      <c r="C515" s="69"/>
      <c r="D515" s="71"/>
      <c r="E515" s="72"/>
      <c r="F515" s="72"/>
      <c r="G515" s="73"/>
      <c r="H515" s="73"/>
      <c r="I515" s="73"/>
      <c r="J515" s="73"/>
      <c r="K515" s="73"/>
      <c r="L515" s="73"/>
      <c r="M515" s="73"/>
      <c r="N515" s="73"/>
      <c r="O515" s="74"/>
      <c r="P515" s="73"/>
      <c r="Q515" s="75"/>
      <c r="R515" s="95"/>
      <c r="S515" s="95"/>
      <c r="T515" s="95"/>
      <c r="U515" s="95"/>
      <c r="V515" s="95"/>
      <c r="W515" s="95"/>
      <c r="X515" s="650" t="s">
        <v>13</v>
      </c>
      <c r="Y515" s="448" t="s">
        <v>63</v>
      </c>
      <c r="Z515" s="480">
        <v>11</v>
      </c>
      <c r="AA515" s="471"/>
      <c r="AB515" s="539"/>
      <c r="AC515" s="476"/>
      <c r="AD515" s="668">
        <f>AD516+AD526</f>
        <v>130985.60000000001</v>
      </c>
      <c r="AE515" s="632">
        <f>AE516+AE526</f>
        <v>124375.9</v>
      </c>
      <c r="AF515" s="642">
        <f>AF516+AF526</f>
        <v>127463.3</v>
      </c>
      <c r="AG515" s="205"/>
      <c r="AH515" s="205"/>
      <c r="AI515" s="147"/>
    </row>
    <row r="516" spans="1:35" s="96" customFormat="1" x14ac:dyDescent="0.25">
      <c r="A516" s="68"/>
      <c r="B516" s="69"/>
      <c r="C516" s="69"/>
      <c r="D516" s="71"/>
      <c r="E516" s="72"/>
      <c r="F516" s="72"/>
      <c r="G516" s="73"/>
      <c r="H516" s="73"/>
      <c r="I516" s="73"/>
      <c r="J516" s="73"/>
      <c r="K516" s="73"/>
      <c r="L516" s="73"/>
      <c r="M516" s="73"/>
      <c r="N516" s="73"/>
      <c r="O516" s="74"/>
      <c r="P516" s="73"/>
      <c r="Q516" s="75"/>
      <c r="R516" s="95"/>
      <c r="S516" s="95"/>
      <c r="T516" s="95"/>
      <c r="U516" s="95"/>
      <c r="V516" s="95"/>
      <c r="W516" s="95"/>
      <c r="X516" s="451" t="s">
        <v>35</v>
      </c>
      <c r="Y516" s="452" t="s">
        <v>63</v>
      </c>
      <c r="Z516" s="453">
        <v>11</v>
      </c>
      <c r="AA516" s="453" t="s">
        <v>30</v>
      </c>
      <c r="AB516" s="542"/>
      <c r="AC516" s="570"/>
      <c r="AD516" s="674">
        <f>AD517</f>
        <v>5319.5</v>
      </c>
      <c r="AE516" s="674">
        <f t="shared" ref="AE516:AF516" si="158">AE517</f>
        <v>3632.9</v>
      </c>
      <c r="AF516" s="674">
        <f t="shared" si="158"/>
        <v>5239.3</v>
      </c>
      <c r="AG516" s="180"/>
      <c r="AH516" s="180"/>
      <c r="AI516" s="147"/>
    </row>
    <row r="517" spans="1:35" s="96" customFormat="1" x14ac:dyDescent="0.25">
      <c r="A517" s="68"/>
      <c r="B517" s="69"/>
      <c r="C517" s="69"/>
      <c r="D517" s="71"/>
      <c r="E517" s="72"/>
      <c r="F517" s="72"/>
      <c r="G517" s="73"/>
      <c r="H517" s="73"/>
      <c r="I517" s="73"/>
      <c r="J517" s="73"/>
      <c r="K517" s="73"/>
      <c r="L517" s="73"/>
      <c r="M517" s="73"/>
      <c r="N517" s="73"/>
      <c r="O517" s="74"/>
      <c r="P517" s="73"/>
      <c r="Q517" s="75"/>
      <c r="R517" s="95"/>
      <c r="S517" s="95"/>
      <c r="T517" s="95"/>
      <c r="U517" s="95"/>
      <c r="V517" s="95"/>
      <c r="W517" s="95"/>
      <c r="X517" s="459" t="s">
        <v>157</v>
      </c>
      <c r="Y517" s="467" t="s">
        <v>63</v>
      </c>
      <c r="Z517" s="453">
        <v>11</v>
      </c>
      <c r="AA517" s="453" t="s">
        <v>30</v>
      </c>
      <c r="AB517" s="542" t="s">
        <v>115</v>
      </c>
      <c r="AC517" s="570"/>
      <c r="AD517" s="674">
        <f t="shared" ref="AD517:AF517" si="159">AD518</f>
        <v>5319.5</v>
      </c>
      <c r="AE517" s="638">
        <f t="shared" si="159"/>
        <v>3632.9</v>
      </c>
      <c r="AF517" s="648">
        <f t="shared" si="159"/>
        <v>5239.3</v>
      </c>
      <c r="AG517" s="180"/>
      <c r="AH517" s="180"/>
      <c r="AI517" s="147"/>
    </row>
    <row r="518" spans="1:35" s="96" customFormat="1" x14ac:dyDescent="0.25">
      <c r="A518" s="68"/>
      <c r="B518" s="69"/>
      <c r="C518" s="69"/>
      <c r="D518" s="71"/>
      <c r="E518" s="72"/>
      <c r="F518" s="72"/>
      <c r="G518" s="73"/>
      <c r="H518" s="73"/>
      <c r="I518" s="73"/>
      <c r="J518" s="73"/>
      <c r="K518" s="73"/>
      <c r="L518" s="73"/>
      <c r="M518" s="73"/>
      <c r="N518" s="73"/>
      <c r="O518" s="74"/>
      <c r="P518" s="73"/>
      <c r="Q518" s="75"/>
      <c r="R518" s="95"/>
      <c r="S518" s="95"/>
      <c r="T518" s="95"/>
      <c r="U518" s="95"/>
      <c r="V518" s="95"/>
      <c r="W518" s="95"/>
      <c r="X518" s="459" t="s">
        <v>158</v>
      </c>
      <c r="Y518" s="467" t="s">
        <v>63</v>
      </c>
      <c r="Z518" s="453">
        <v>11</v>
      </c>
      <c r="AA518" s="453" t="s">
        <v>30</v>
      </c>
      <c r="AB518" s="542" t="s">
        <v>119</v>
      </c>
      <c r="AC518" s="570"/>
      <c r="AD518" s="674">
        <f t="shared" ref="AD518:AF519" si="160">AD519</f>
        <v>5319.5</v>
      </c>
      <c r="AE518" s="638">
        <f t="shared" si="160"/>
        <v>3632.9</v>
      </c>
      <c r="AF518" s="648">
        <f t="shared" si="160"/>
        <v>5239.3</v>
      </c>
      <c r="AG518" s="180"/>
      <c r="AH518" s="180"/>
      <c r="AI518" s="147"/>
    </row>
    <row r="519" spans="1:35" s="96" customFormat="1" ht="31.5" x14ac:dyDescent="0.25">
      <c r="A519" s="68"/>
      <c r="B519" s="69"/>
      <c r="C519" s="69"/>
      <c r="D519" s="71"/>
      <c r="E519" s="72"/>
      <c r="F519" s="72"/>
      <c r="G519" s="73"/>
      <c r="H519" s="73"/>
      <c r="I519" s="73"/>
      <c r="J519" s="73"/>
      <c r="K519" s="73"/>
      <c r="L519" s="73"/>
      <c r="M519" s="73"/>
      <c r="N519" s="73"/>
      <c r="O519" s="74"/>
      <c r="P519" s="73"/>
      <c r="Q519" s="75"/>
      <c r="R519" s="95"/>
      <c r="S519" s="95"/>
      <c r="T519" s="95"/>
      <c r="U519" s="95"/>
      <c r="V519" s="95"/>
      <c r="W519" s="95"/>
      <c r="X519" s="459" t="s">
        <v>749</v>
      </c>
      <c r="Y519" s="467" t="s">
        <v>63</v>
      </c>
      <c r="Z519" s="453">
        <v>11</v>
      </c>
      <c r="AA519" s="453" t="s">
        <v>30</v>
      </c>
      <c r="AB519" s="542" t="s">
        <v>129</v>
      </c>
      <c r="AC519" s="570"/>
      <c r="AD519" s="674">
        <f t="shared" si="160"/>
        <v>5319.5</v>
      </c>
      <c r="AE519" s="638">
        <f t="shared" si="160"/>
        <v>3632.9</v>
      </c>
      <c r="AF519" s="648">
        <f t="shared" si="160"/>
        <v>5239.3</v>
      </c>
      <c r="AG519" s="180"/>
      <c r="AH519" s="180"/>
      <c r="AI519" s="147"/>
    </row>
    <row r="520" spans="1:35" s="96" customFormat="1" ht="31.5" x14ac:dyDescent="0.25">
      <c r="A520" s="68"/>
      <c r="B520" s="69"/>
      <c r="C520" s="69"/>
      <c r="D520" s="71"/>
      <c r="E520" s="72"/>
      <c r="F520" s="72"/>
      <c r="G520" s="73"/>
      <c r="H520" s="73"/>
      <c r="I520" s="73"/>
      <c r="J520" s="73"/>
      <c r="K520" s="73"/>
      <c r="L520" s="73"/>
      <c r="M520" s="73"/>
      <c r="N520" s="73"/>
      <c r="O520" s="74"/>
      <c r="P520" s="73"/>
      <c r="Q520" s="75"/>
      <c r="R520" s="95"/>
      <c r="S520" s="95"/>
      <c r="T520" s="95"/>
      <c r="U520" s="95"/>
      <c r="V520" s="95"/>
      <c r="W520" s="95"/>
      <c r="X520" s="654" t="s">
        <v>523</v>
      </c>
      <c r="Y520" s="467" t="s">
        <v>63</v>
      </c>
      <c r="Z520" s="453">
        <v>11</v>
      </c>
      <c r="AA520" s="453" t="s">
        <v>30</v>
      </c>
      <c r="AB520" s="542" t="s">
        <v>160</v>
      </c>
      <c r="AC520" s="476"/>
      <c r="AD520" s="674">
        <f>AD521+AD523</f>
        <v>5319.5</v>
      </c>
      <c r="AE520" s="638">
        <f t="shared" ref="AE520:AF520" si="161">AE521+AE523</f>
        <v>3632.9</v>
      </c>
      <c r="AF520" s="648">
        <f t="shared" si="161"/>
        <v>5239.3</v>
      </c>
      <c r="AG520" s="180"/>
      <c r="AH520" s="180"/>
      <c r="AI520" s="147"/>
    </row>
    <row r="521" spans="1:35" s="96" customFormat="1" x14ac:dyDescent="0.25">
      <c r="A521" s="68"/>
      <c r="B521" s="69"/>
      <c r="C521" s="69"/>
      <c r="D521" s="71"/>
      <c r="E521" s="72"/>
      <c r="F521" s="72"/>
      <c r="G521" s="73"/>
      <c r="H521" s="73"/>
      <c r="I521" s="73"/>
      <c r="J521" s="73"/>
      <c r="K521" s="73"/>
      <c r="L521" s="73"/>
      <c r="M521" s="73"/>
      <c r="N521" s="73"/>
      <c r="O521" s="74"/>
      <c r="P521" s="73"/>
      <c r="Q521" s="75"/>
      <c r="R521" s="95"/>
      <c r="S521" s="95"/>
      <c r="T521" s="95"/>
      <c r="U521" s="95"/>
      <c r="V521" s="95"/>
      <c r="W521" s="95"/>
      <c r="X521" s="451" t="s">
        <v>120</v>
      </c>
      <c r="Y521" s="452" t="s">
        <v>63</v>
      </c>
      <c r="Z521" s="453">
        <v>11</v>
      </c>
      <c r="AA521" s="453" t="s">
        <v>30</v>
      </c>
      <c r="AB521" s="542" t="s">
        <v>160</v>
      </c>
      <c r="AC521" s="454">
        <v>200</v>
      </c>
      <c r="AD521" s="674">
        <f>AD522</f>
        <v>4119.5</v>
      </c>
      <c r="AE521" s="638">
        <f>AE522</f>
        <v>2857.9</v>
      </c>
      <c r="AF521" s="648">
        <f>AF522</f>
        <v>3239.3</v>
      </c>
      <c r="AG521" s="180"/>
      <c r="AH521" s="180"/>
      <c r="AI521" s="147"/>
    </row>
    <row r="522" spans="1:35" s="96" customFormat="1" ht="31.5" x14ac:dyDescent="0.25">
      <c r="A522" s="68"/>
      <c r="B522" s="69"/>
      <c r="C522" s="69"/>
      <c r="D522" s="71"/>
      <c r="E522" s="72"/>
      <c r="F522" s="72"/>
      <c r="G522" s="73"/>
      <c r="H522" s="73"/>
      <c r="I522" s="73"/>
      <c r="J522" s="73"/>
      <c r="K522" s="73"/>
      <c r="L522" s="73"/>
      <c r="M522" s="73"/>
      <c r="N522" s="73"/>
      <c r="O522" s="74"/>
      <c r="P522" s="73"/>
      <c r="Q522" s="75"/>
      <c r="R522" s="95"/>
      <c r="S522" s="95"/>
      <c r="T522" s="95"/>
      <c r="U522" s="95"/>
      <c r="V522" s="95"/>
      <c r="W522" s="95"/>
      <c r="X522" s="451" t="s">
        <v>52</v>
      </c>
      <c r="Y522" s="452" t="s">
        <v>63</v>
      </c>
      <c r="Z522" s="453">
        <v>11</v>
      </c>
      <c r="AA522" s="453" t="s">
        <v>30</v>
      </c>
      <c r="AB522" s="542" t="s">
        <v>160</v>
      </c>
      <c r="AC522" s="454">
        <v>240</v>
      </c>
      <c r="AD522" s="674">
        <f>3500-775+1819.5-425</f>
        <v>4119.5</v>
      </c>
      <c r="AE522" s="638">
        <f>3632.9-775</f>
        <v>2857.9</v>
      </c>
      <c r="AF522" s="648">
        <f>8990-3750.7-2000</f>
        <v>3239.3</v>
      </c>
      <c r="AG522" s="180"/>
      <c r="AH522" s="180"/>
      <c r="AI522" s="147"/>
    </row>
    <row r="523" spans="1:35" s="96" customFormat="1" ht="31.5" x14ac:dyDescent="0.25">
      <c r="A523" s="68"/>
      <c r="B523" s="69"/>
      <c r="C523" s="69"/>
      <c r="D523" s="71"/>
      <c r="E523" s="72"/>
      <c r="F523" s="72"/>
      <c r="G523" s="492"/>
      <c r="H523" s="492"/>
      <c r="I523" s="492"/>
      <c r="J523" s="492"/>
      <c r="K523" s="492"/>
      <c r="L523" s="492"/>
      <c r="M523" s="492"/>
      <c r="N523" s="492"/>
      <c r="O523" s="74"/>
      <c r="P523" s="492"/>
      <c r="Q523" s="75"/>
      <c r="R523" s="95"/>
      <c r="S523" s="95"/>
      <c r="T523" s="95"/>
      <c r="U523" s="95"/>
      <c r="V523" s="95"/>
      <c r="W523" s="95"/>
      <c r="X523" s="651" t="s">
        <v>60</v>
      </c>
      <c r="Y523" s="452" t="s">
        <v>63</v>
      </c>
      <c r="Z523" s="453">
        <v>11</v>
      </c>
      <c r="AA523" s="453" t="s">
        <v>30</v>
      </c>
      <c r="AB523" s="542" t="s">
        <v>160</v>
      </c>
      <c r="AC523" s="454">
        <v>600</v>
      </c>
      <c r="AD523" s="674">
        <f>AD524+AD525</f>
        <v>1200</v>
      </c>
      <c r="AE523" s="638">
        <f t="shared" ref="AE523:AF523" si="162">AE524+AE525</f>
        <v>775</v>
      </c>
      <c r="AF523" s="648">
        <f t="shared" si="162"/>
        <v>2000</v>
      </c>
      <c r="AG523" s="506"/>
      <c r="AH523" s="506"/>
      <c r="AI523" s="502"/>
    </row>
    <row r="524" spans="1:35" s="96" customFormat="1" x14ac:dyDescent="0.25">
      <c r="A524" s="68"/>
      <c r="B524" s="69"/>
      <c r="C524" s="69"/>
      <c r="D524" s="71"/>
      <c r="E524" s="72"/>
      <c r="F524" s="72"/>
      <c r="G524" s="492"/>
      <c r="H524" s="492"/>
      <c r="I524" s="492"/>
      <c r="J524" s="492"/>
      <c r="K524" s="492"/>
      <c r="L524" s="492"/>
      <c r="M524" s="492"/>
      <c r="N524" s="492"/>
      <c r="O524" s="74"/>
      <c r="P524" s="492"/>
      <c r="Q524" s="75"/>
      <c r="R524" s="95"/>
      <c r="S524" s="95"/>
      <c r="T524" s="95"/>
      <c r="U524" s="95"/>
      <c r="V524" s="95"/>
      <c r="W524" s="95"/>
      <c r="X524" s="451" t="s">
        <v>61</v>
      </c>
      <c r="Y524" s="452" t="s">
        <v>63</v>
      </c>
      <c r="Z524" s="453">
        <v>11</v>
      </c>
      <c r="AA524" s="453" t="s">
        <v>30</v>
      </c>
      <c r="AB524" s="542" t="s">
        <v>160</v>
      </c>
      <c r="AC524" s="454">
        <v>610</v>
      </c>
      <c r="AD524" s="674">
        <v>450</v>
      </c>
      <c r="AE524" s="638">
        <v>450</v>
      </c>
      <c r="AF524" s="648">
        <v>1162</v>
      </c>
      <c r="AG524" s="506"/>
      <c r="AH524" s="506"/>
      <c r="AI524" s="502"/>
    </row>
    <row r="525" spans="1:35" s="96" customFormat="1" x14ac:dyDescent="0.25">
      <c r="A525" s="68"/>
      <c r="B525" s="69"/>
      <c r="C525" s="69"/>
      <c r="D525" s="71"/>
      <c r="E525" s="72"/>
      <c r="F525" s="72"/>
      <c r="G525" s="492"/>
      <c r="H525" s="492"/>
      <c r="I525" s="492"/>
      <c r="J525" s="492"/>
      <c r="K525" s="492"/>
      <c r="L525" s="492"/>
      <c r="M525" s="492"/>
      <c r="N525" s="492"/>
      <c r="O525" s="74"/>
      <c r="P525" s="492"/>
      <c r="Q525" s="75"/>
      <c r="R525" s="95"/>
      <c r="S525" s="95"/>
      <c r="T525" s="95"/>
      <c r="U525" s="95"/>
      <c r="V525" s="95"/>
      <c r="W525" s="95"/>
      <c r="X525" s="655" t="s">
        <v>130</v>
      </c>
      <c r="Y525" s="452" t="s">
        <v>63</v>
      </c>
      <c r="Z525" s="453">
        <v>11</v>
      </c>
      <c r="AA525" s="453" t="s">
        <v>30</v>
      </c>
      <c r="AB525" s="542" t="s">
        <v>160</v>
      </c>
      <c r="AC525" s="454">
        <v>620</v>
      </c>
      <c r="AD525" s="674">
        <f>325+425</f>
        <v>750</v>
      </c>
      <c r="AE525" s="638">
        <v>325</v>
      </c>
      <c r="AF525" s="648">
        <v>838</v>
      </c>
      <c r="AG525" s="506"/>
      <c r="AH525" s="506"/>
      <c r="AI525" s="502"/>
    </row>
    <row r="526" spans="1:35" s="96" customFormat="1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655" t="s">
        <v>599</v>
      </c>
      <c r="Y526" s="452" t="s">
        <v>63</v>
      </c>
      <c r="Z526" s="453">
        <v>11</v>
      </c>
      <c r="AA526" s="453" t="s">
        <v>7</v>
      </c>
      <c r="AB526" s="542"/>
      <c r="AC526" s="570"/>
      <c r="AD526" s="674">
        <f t="shared" ref="AD526:AD531" si="163">AD527</f>
        <v>125666.1</v>
      </c>
      <c r="AE526" s="638">
        <f t="shared" ref="AE526:AF531" si="164">AE527</f>
        <v>120743</v>
      </c>
      <c r="AF526" s="648">
        <f t="shared" si="164"/>
        <v>122224</v>
      </c>
      <c r="AG526" s="180"/>
      <c r="AH526" s="180"/>
      <c r="AI526" s="147"/>
    </row>
    <row r="527" spans="1:35" s="96" customFormat="1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459" t="s">
        <v>157</v>
      </c>
      <c r="Y527" s="452" t="s">
        <v>63</v>
      </c>
      <c r="Z527" s="453">
        <v>11</v>
      </c>
      <c r="AA527" s="453" t="s">
        <v>7</v>
      </c>
      <c r="AB527" s="542" t="s">
        <v>115</v>
      </c>
      <c r="AC527" s="570"/>
      <c r="AD527" s="674">
        <f t="shared" si="163"/>
        <v>125666.1</v>
      </c>
      <c r="AE527" s="638">
        <f t="shared" si="164"/>
        <v>120743</v>
      </c>
      <c r="AF527" s="648">
        <f t="shared" si="164"/>
        <v>122224</v>
      </c>
      <c r="AG527" s="180"/>
      <c r="AH527" s="180"/>
      <c r="AI527" s="147"/>
    </row>
    <row r="528" spans="1:35" s="96" customFormat="1" x14ac:dyDescent="0.25">
      <c r="A528" s="68"/>
      <c r="B528" s="69"/>
      <c r="C528" s="69"/>
      <c r="D528" s="71"/>
      <c r="E528" s="72"/>
      <c r="F528" s="72"/>
      <c r="G528" s="73"/>
      <c r="H528" s="73"/>
      <c r="I528" s="73"/>
      <c r="J528" s="73"/>
      <c r="K528" s="73"/>
      <c r="L528" s="73"/>
      <c r="M528" s="73"/>
      <c r="N528" s="73"/>
      <c r="O528" s="74"/>
      <c r="P528" s="73"/>
      <c r="Q528" s="75"/>
      <c r="R528" s="95"/>
      <c r="S528" s="95"/>
      <c r="T528" s="95"/>
      <c r="U528" s="95"/>
      <c r="V528" s="95"/>
      <c r="W528" s="95"/>
      <c r="X528" s="655" t="s">
        <v>600</v>
      </c>
      <c r="Y528" s="467" t="s">
        <v>63</v>
      </c>
      <c r="Z528" s="453">
        <v>11</v>
      </c>
      <c r="AA528" s="453" t="s">
        <v>7</v>
      </c>
      <c r="AB528" s="542" t="s">
        <v>601</v>
      </c>
      <c r="AC528" s="570"/>
      <c r="AD528" s="674">
        <f t="shared" si="163"/>
        <v>125666.1</v>
      </c>
      <c r="AE528" s="638">
        <f t="shared" si="164"/>
        <v>120743</v>
      </c>
      <c r="AF528" s="648">
        <f t="shared" si="164"/>
        <v>122224</v>
      </c>
      <c r="AG528" s="180"/>
      <c r="AH528" s="180"/>
      <c r="AI528" s="147"/>
    </row>
    <row r="529" spans="1:35" s="96" customFormat="1" x14ac:dyDescent="0.25">
      <c r="A529" s="68"/>
      <c r="B529" s="69"/>
      <c r="C529" s="69"/>
      <c r="D529" s="71"/>
      <c r="E529" s="72"/>
      <c r="F529" s="72"/>
      <c r="G529" s="73"/>
      <c r="H529" s="73"/>
      <c r="I529" s="73"/>
      <c r="J529" s="73"/>
      <c r="K529" s="73"/>
      <c r="L529" s="73"/>
      <c r="M529" s="73"/>
      <c r="N529" s="73"/>
      <c r="O529" s="74"/>
      <c r="P529" s="73"/>
      <c r="Q529" s="75"/>
      <c r="R529" s="95"/>
      <c r="S529" s="95"/>
      <c r="T529" s="95"/>
      <c r="U529" s="95"/>
      <c r="V529" s="95"/>
      <c r="W529" s="95"/>
      <c r="X529" s="655" t="s">
        <v>603</v>
      </c>
      <c r="Y529" s="467" t="s">
        <v>63</v>
      </c>
      <c r="Z529" s="453">
        <v>11</v>
      </c>
      <c r="AA529" s="453" t="s">
        <v>7</v>
      </c>
      <c r="AB529" s="542" t="s">
        <v>602</v>
      </c>
      <c r="AC529" s="570"/>
      <c r="AD529" s="674">
        <f t="shared" si="163"/>
        <v>125666.1</v>
      </c>
      <c r="AE529" s="638">
        <f t="shared" si="164"/>
        <v>120743</v>
      </c>
      <c r="AF529" s="648">
        <f t="shared" si="164"/>
        <v>122224</v>
      </c>
      <c r="AG529" s="180"/>
      <c r="AH529" s="180"/>
      <c r="AI529" s="147"/>
    </row>
    <row r="530" spans="1:35" s="96" customFormat="1" ht="31.5" x14ac:dyDescent="0.25">
      <c r="A530" s="68"/>
      <c r="B530" s="69"/>
      <c r="C530" s="69"/>
      <c r="D530" s="71"/>
      <c r="E530" s="72"/>
      <c r="F530" s="72"/>
      <c r="G530" s="73"/>
      <c r="H530" s="73"/>
      <c r="I530" s="73"/>
      <c r="J530" s="73"/>
      <c r="K530" s="73"/>
      <c r="L530" s="73"/>
      <c r="M530" s="73"/>
      <c r="N530" s="73"/>
      <c r="O530" s="74"/>
      <c r="P530" s="73"/>
      <c r="Q530" s="75"/>
      <c r="R530" s="95"/>
      <c r="S530" s="95"/>
      <c r="T530" s="95"/>
      <c r="U530" s="95"/>
      <c r="V530" s="95"/>
      <c r="W530" s="95"/>
      <c r="X530" s="655" t="s">
        <v>605</v>
      </c>
      <c r="Y530" s="467" t="s">
        <v>63</v>
      </c>
      <c r="Z530" s="453">
        <v>11</v>
      </c>
      <c r="AA530" s="453" t="s">
        <v>7</v>
      </c>
      <c r="AB530" s="542" t="s">
        <v>604</v>
      </c>
      <c r="AC530" s="570"/>
      <c r="AD530" s="674">
        <f t="shared" si="163"/>
        <v>125666.1</v>
      </c>
      <c r="AE530" s="638">
        <f t="shared" si="164"/>
        <v>120743</v>
      </c>
      <c r="AF530" s="648">
        <f t="shared" si="164"/>
        <v>122224</v>
      </c>
      <c r="AG530" s="180"/>
      <c r="AH530" s="180"/>
      <c r="AI530" s="147"/>
    </row>
    <row r="531" spans="1:35" s="96" customFormat="1" ht="31.5" x14ac:dyDescent="0.25">
      <c r="A531" s="68"/>
      <c r="B531" s="69"/>
      <c r="C531" s="69"/>
      <c r="D531" s="71"/>
      <c r="E531" s="72"/>
      <c r="F531" s="72"/>
      <c r="G531" s="73"/>
      <c r="H531" s="73"/>
      <c r="I531" s="73"/>
      <c r="J531" s="73"/>
      <c r="K531" s="73"/>
      <c r="L531" s="73"/>
      <c r="M531" s="73"/>
      <c r="N531" s="73"/>
      <c r="O531" s="74"/>
      <c r="P531" s="73"/>
      <c r="Q531" s="75"/>
      <c r="R531" s="95"/>
      <c r="S531" s="95"/>
      <c r="T531" s="95"/>
      <c r="U531" s="95"/>
      <c r="V531" s="95"/>
      <c r="W531" s="95"/>
      <c r="X531" s="451" t="s">
        <v>60</v>
      </c>
      <c r="Y531" s="467" t="s">
        <v>63</v>
      </c>
      <c r="Z531" s="453">
        <v>11</v>
      </c>
      <c r="AA531" s="453" t="s">
        <v>7</v>
      </c>
      <c r="AB531" s="542" t="s">
        <v>604</v>
      </c>
      <c r="AC531" s="570">
        <v>600</v>
      </c>
      <c r="AD531" s="674">
        <f t="shared" si="163"/>
        <v>125666.1</v>
      </c>
      <c r="AE531" s="638">
        <f t="shared" si="164"/>
        <v>120743</v>
      </c>
      <c r="AF531" s="648">
        <f t="shared" si="164"/>
        <v>122224</v>
      </c>
      <c r="AG531" s="180"/>
      <c r="AH531" s="180"/>
      <c r="AI531" s="147"/>
    </row>
    <row r="532" spans="1:35" s="96" customFormat="1" x14ac:dyDescent="0.25">
      <c r="A532" s="68"/>
      <c r="B532" s="69"/>
      <c r="C532" s="69"/>
      <c r="D532" s="71"/>
      <c r="E532" s="72"/>
      <c r="F532" s="72"/>
      <c r="G532" s="73"/>
      <c r="H532" s="73"/>
      <c r="I532" s="73"/>
      <c r="J532" s="73"/>
      <c r="K532" s="73"/>
      <c r="L532" s="73"/>
      <c r="M532" s="73"/>
      <c r="N532" s="73"/>
      <c r="O532" s="74"/>
      <c r="P532" s="73"/>
      <c r="Q532" s="75"/>
      <c r="R532" s="95"/>
      <c r="S532" s="95"/>
      <c r="T532" s="95"/>
      <c r="U532" s="95"/>
      <c r="V532" s="95"/>
      <c r="W532" s="95"/>
      <c r="X532" s="655" t="s">
        <v>130</v>
      </c>
      <c r="Y532" s="467" t="s">
        <v>63</v>
      </c>
      <c r="Z532" s="453">
        <v>11</v>
      </c>
      <c r="AA532" s="453" t="s">
        <v>7</v>
      </c>
      <c r="AB532" s="542" t="s">
        <v>604</v>
      </c>
      <c r="AC532" s="570">
        <v>620</v>
      </c>
      <c r="AD532" s="674">
        <f>124505.5+1160.6</f>
        <v>125666.1</v>
      </c>
      <c r="AE532" s="638">
        <v>120743</v>
      </c>
      <c r="AF532" s="648">
        <v>122224</v>
      </c>
      <c r="AG532" s="180"/>
      <c r="AH532" s="180"/>
      <c r="AI532" s="147"/>
    </row>
    <row r="533" spans="1:35" s="96" customFormat="1" x14ac:dyDescent="0.25">
      <c r="A533" s="68"/>
      <c r="B533" s="69"/>
      <c r="C533" s="69"/>
      <c r="D533" s="71"/>
      <c r="E533" s="72"/>
      <c r="F533" s="72"/>
      <c r="G533" s="73"/>
      <c r="H533" s="73"/>
      <c r="I533" s="73"/>
      <c r="J533" s="73"/>
      <c r="K533" s="73"/>
      <c r="L533" s="73"/>
      <c r="M533" s="73"/>
      <c r="N533" s="73"/>
      <c r="O533" s="74"/>
      <c r="P533" s="73"/>
      <c r="Q533" s="75"/>
      <c r="R533" s="95"/>
      <c r="S533" s="95"/>
      <c r="T533" s="95"/>
      <c r="U533" s="95"/>
      <c r="V533" s="95"/>
      <c r="W533" s="95"/>
      <c r="X533" s="650" t="s">
        <v>436</v>
      </c>
      <c r="Y533" s="708" t="s">
        <v>63</v>
      </c>
      <c r="Z533" s="480">
        <v>13</v>
      </c>
      <c r="AA533" s="471"/>
      <c r="AB533" s="539"/>
      <c r="AC533" s="476"/>
      <c r="AD533" s="668">
        <f>AD534</f>
        <v>4534.5</v>
      </c>
      <c r="AE533" s="632">
        <f>AE534</f>
        <v>40146.5</v>
      </c>
      <c r="AF533" s="642">
        <f>AF534</f>
        <v>53573.599999999999</v>
      </c>
      <c r="AG533" s="205"/>
      <c r="AH533" s="205"/>
      <c r="AI533" s="147"/>
    </row>
    <row r="534" spans="1:35" x14ac:dyDescent="0.25">
      <c r="A534" s="47"/>
      <c r="B534" s="78"/>
      <c r="C534" s="78"/>
      <c r="D534" s="79"/>
      <c r="E534" s="79"/>
      <c r="F534" s="79"/>
      <c r="G534" s="127"/>
      <c r="H534" s="127"/>
      <c r="I534" s="127"/>
      <c r="J534" s="127"/>
      <c r="K534" s="127"/>
      <c r="L534" s="73"/>
      <c r="M534" s="127"/>
      <c r="N534" s="73"/>
      <c r="O534" s="82"/>
      <c r="P534" s="127"/>
      <c r="Q534" s="83"/>
      <c r="R534" s="128"/>
      <c r="S534" s="128"/>
      <c r="T534" s="128"/>
      <c r="U534" s="128"/>
      <c r="V534" s="128"/>
      <c r="W534" s="128"/>
      <c r="X534" s="451" t="s">
        <v>437</v>
      </c>
      <c r="Y534" s="452" t="s">
        <v>63</v>
      </c>
      <c r="Z534" s="474">
        <v>13</v>
      </c>
      <c r="AA534" s="453" t="s">
        <v>29</v>
      </c>
      <c r="AB534" s="545"/>
      <c r="AC534" s="454"/>
      <c r="AD534" s="669">
        <f>AD538</f>
        <v>4534.5</v>
      </c>
      <c r="AE534" s="633">
        <f>AE538</f>
        <v>40146.5</v>
      </c>
      <c r="AF534" s="643">
        <f>AF538</f>
        <v>53573.599999999999</v>
      </c>
      <c r="AG534" s="180"/>
      <c r="AH534" s="180"/>
      <c r="AI534" s="147"/>
    </row>
    <row r="535" spans="1:35" x14ac:dyDescent="0.25">
      <c r="A535" s="47"/>
      <c r="B535" s="78"/>
      <c r="C535" s="78"/>
      <c r="D535" s="79"/>
      <c r="E535" s="79"/>
      <c r="F535" s="79"/>
      <c r="G535" s="127"/>
      <c r="H535" s="127"/>
      <c r="I535" s="127"/>
      <c r="J535" s="127"/>
      <c r="K535" s="127"/>
      <c r="L535" s="73"/>
      <c r="M535" s="127"/>
      <c r="N535" s="73"/>
      <c r="O535" s="82"/>
      <c r="P535" s="127"/>
      <c r="Q535" s="83"/>
      <c r="R535" s="128"/>
      <c r="S535" s="128"/>
      <c r="T535" s="128"/>
      <c r="U535" s="128"/>
      <c r="V535" s="128"/>
      <c r="W535" s="128"/>
      <c r="X535" s="457" t="s">
        <v>186</v>
      </c>
      <c r="Y535" s="452" t="s">
        <v>63</v>
      </c>
      <c r="Z535" s="474">
        <v>13</v>
      </c>
      <c r="AA535" s="453" t="s">
        <v>29</v>
      </c>
      <c r="AB535" s="542" t="s">
        <v>112</v>
      </c>
      <c r="AC535" s="454"/>
      <c r="AD535" s="669">
        <f>AD538</f>
        <v>4534.5</v>
      </c>
      <c r="AE535" s="633">
        <f>AE538</f>
        <v>40146.5</v>
      </c>
      <c r="AF535" s="643">
        <f>AF538</f>
        <v>53573.599999999999</v>
      </c>
      <c r="AG535" s="180"/>
      <c r="AH535" s="180"/>
      <c r="AI535" s="147"/>
    </row>
    <row r="536" spans="1:35" x14ac:dyDescent="0.25">
      <c r="A536" s="47"/>
      <c r="B536" s="78"/>
      <c r="C536" s="78"/>
      <c r="D536" s="79"/>
      <c r="E536" s="79"/>
      <c r="F536" s="79"/>
      <c r="G536" s="127"/>
      <c r="H536" s="127"/>
      <c r="I536" s="127"/>
      <c r="J536" s="127"/>
      <c r="K536" s="127"/>
      <c r="L536" s="73"/>
      <c r="M536" s="127"/>
      <c r="N536" s="73"/>
      <c r="O536" s="82"/>
      <c r="P536" s="127"/>
      <c r="Q536" s="83"/>
      <c r="R536" s="128"/>
      <c r="S536" s="128"/>
      <c r="T536" s="128"/>
      <c r="U536" s="128"/>
      <c r="V536" s="128"/>
      <c r="W536" s="128"/>
      <c r="X536" s="457" t="s">
        <v>530</v>
      </c>
      <c r="Y536" s="452" t="s">
        <v>63</v>
      </c>
      <c r="Z536" s="474">
        <v>13</v>
      </c>
      <c r="AA536" s="453" t="s">
        <v>29</v>
      </c>
      <c r="AB536" s="542" t="s">
        <v>404</v>
      </c>
      <c r="AC536" s="454"/>
      <c r="AD536" s="669">
        <f t="shared" ref="AD536:AF537" si="165">AD537</f>
        <v>4534.5</v>
      </c>
      <c r="AE536" s="633">
        <f t="shared" si="165"/>
        <v>40146.5</v>
      </c>
      <c r="AF536" s="643">
        <f t="shared" si="165"/>
        <v>53573.599999999999</v>
      </c>
      <c r="AG536" s="180"/>
      <c r="AH536" s="180"/>
      <c r="AI536" s="147"/>
    </row>
    <row r="537" spans="1:35" ht="31.5" x14ac:dyDescent="0.25">
      <c r="A537" s="47"/>
      <c r="B537" s="78"/>
      <c r="C537" s="78"/>
      <c r="D537" s="79"/>
      <c r="E537" s="79"/>
      <c r="F537" s="79"/>
      <c r="G537" s="127"/>
      <c r="H537" s="127"/>
      <c r="I537" s="127"/>
      <c r="J537" s="127"/>
      <c r="K537" s="127"/>
      <c r="L537" s="73"/>
      <c r="M537" s="127"/>
      <c r="N537" s="73"/>
      <c r="O537" s="82"/>
      <c r="P537" s="127"/>
      <c r="Q537" s="83"/>
      <c r="R537" s="128"/>
      <c r="S537" s="128"/>
      <c r="T537" s="128"/>
      <c r="U537" s="128"/>
      <c r="V537" s="128"/>
      <c r="W537" s="128"/>
      <c r="X537" s="466" t="s">
        <v>531</v>
      </c>
      <c r="Y537" s="452" t="s">
        <v>63</v>
      </c>
      <c r="Z537" s="474">
        <v>13</v>
      </c>
      <c r="AA537" s="453" t="s">
        <v>29</v>
      </c>
      <c r="AB537" s="542" t="s">
        <v>406</v>
      </c>
      <c r="AC537" s="454"/>
      <c r="AD537" s="669">
        <f t="shared" si="165"/>
        <v>4534.5</v>
      </c>
      <c r="AE537" s="633">
        <f t="shared" si="165"/>
        <v>40146.5</v>
      </c>
      <c r="AF537" s="643">
        <f t="shared" si="165"/>
        <v>53573.599999999999</v>
      </c>
      <c r="AG537" s="180"/>
      <c r="AH537" s="180"/>
      <c r="AI537" s="147"/>
    </row>
    <row r="538" spans="1:35" x14ac:dyDescent="0.25">
      <c r="A538" s="88"/>
      <c r="B538" s="78"/>
      <c r="C538" s="78"/>
      <c r="D538" s="79"/>
      <c r="E538" s="79"/>
      <c r="F538" s="79"/>
      <c r="G538" s="127"/>
      <c r="H538" s="127"/>
      <c r="I538" s="127"/>
      <c r="J538" s="127"/>
      <c r="K538" s="127"/>
      <c r="L538" s="73"/>
      <c r="M538" s="127"/>
      <c r="N538" s="73"/>
      <c r="O538" s="82"/>
      <c r="P538" s="127"/>
      <c r="Q538" s="83"/>
      <c r="R538" s="128"/>
      <c r="S538" s="128"/>
      <c r="T538" s="128"/>
      <c r="U538" s="128"/>
      <c r="V538" s="128"/>
      <c r="W538" s="128"/>
      <c r="X538" s="457" t="s">
        <v>188</v>
      </c>
      <c r="Y538" s="452" t="s">
        <v>63</v>
      </c>
      <c r="Z538" s="474">
        <v>13</v>
      </c>
      <c r="AA538" s="453" t="s">
        <v>29</v>
      </c>
      <c r="AB538" s="542" t="s">
        <v>532</v>
      </c>
      <c r="AC538" s="454"/>
      <c r="AD538" s="669">
        <f t="shared" ref="AD538:AF539" si="166">AD539</f>
        <v>4534.5</v>
      </c>
      <c r="AE538" s="633">
        <f t="shared" si="166"/>
        <v>40146.5</v>
      </c>
      <c r="AF538" s="643">
        <f t="shared" si="166"/>
        <v>53573.599999999999</v>
      </c>
      <c r="AG538" s="180"/>
      <c r="AH538" s="180"/>
      <c r="AI538" s="147"/>
    </row>
    <row r="539" spans="1:35" x14ac:dyDescent="0.25">
      <c r="A539" s="89"/>
      <c r="B539" s="78"/>
      <c r="C539" s="78"/>
      <c r="D539" s="79"/>
      <c r="E539" s="79"/>
      <c r="F539" s="79"/>
      <c r="G539" s="127"/>
      <c r="H539" s="127"/>
      <c r="I539" s="127"/>
      <c r="J539" s="127"/>
      <c r="K539" s="127"/>
      <c r="L539" s="73"/>
      <c r="M539" s="127"/>
      <c r="N539" s="73"/>
      <c r="O539" s="82"/>
      <c r="P539" s="127"/>
      <c r="Q539" s="83"/>
      <c r="R539" s="128"/>
      <c r="S539" s="128"/>
      <c r="T539" s="128"/>
      <c r="U539" s="128"/>
      <c r="V539" s="128"/>
      <c r="W539" s="128"/>
      <c r="X539" s="451" t="s">
        <v>67</v>
      </c>
      <c r="Y539" s="452" t="s">
        <v>63</v>
      </c>
      <c r="Z539" s="474">
        <v>13</v>
      </c>
      <c r="AA539" s="453" t="s">
        <v>29</v>
      </c>
      <c r="AB539" s="542" t="s">
        <v>532</v>
      </c>
      <c r="AC539" s="454">
        <v>700</v>
      </c>
      <c r="AD539" s="669">
        <f t="shared" si="166"/>
        <v>4534.5</v>
      </c>
      <c r="AE539" s="633">
        <f t="shared" si="166"/>
        <v>40146.5</v>
      </c>
      <c r="AF539" s="643">
        <f t="shared" si="166"/>
        <v>53573.599999999999</v>
      </c>
      <c r="AG539" s="180"/>
      <c r="AH539" s="180"/>
      <c r="AI539" s="147"/>
    </row>
    <row r="540" spans="1:35" s="103" customFormat="1" x14ac:dyDescent="0.25">
      <c r="A540" s="90"/>
      <c r="B540" s="78"/>
      <c r="C540" s="78"/>
      <c r="D540" s="79"/>
      <c r="E540" s="79"/>
      <c r="F540" s="79"/>
      <c r="G540" s="127"/>
      <c r="H540" s="105"/>
      <c r="I540" s="49"/>
      <c r="J540" s="49"/>
      <c r="K540" s="49"/>
      <c r="L540" s="73"/>
      <c r="M540" s="49"/>
      <c r="N540" s="73"/>
      <c r="O540" s="82"/>
      <c r="P540" s="127"/>
      <c r="Q540" s="83"/>
      <c r="R540" s="84"/>
      <c r="S540" s="87"/>
      <c r="T540" s="87"/>
      <c r="U540" s="87"/>
      <c r="V540" s="87"/>
      <c r="W540" s="105"/>
      <c r="X540" s="451" t="s">
        <v>354</v>
      </c>
      <c r="Y540" s="452" t="s">
        <v>63</v>
      </c>
      <c r="Z540" s="474">
        <v>13</v>
      </c>
      <c r="AA540" s="453" t="s">
        <v>29</v>
      </c>
      <c r="AB540" s="542" t="s">
        <v>532</v>
      </c>
      <c r="AC540" s="454">
        <v>730</v>
      </c>
      <c r="AD540" s="669">
        <v>4534.5</v>
      </c>
      <c r="AE540" s="633">
        <v>40146.5</v>
      </c>
      <c r="AF540" s="643">
        <v>53573.599999999999</v>
      </c>
      <c r="AG540" s="180"/>
      <c r="AH540" s="180"/>
      <c r="AI540" s="147"/>
    </row>
    <row r="541" spans="1:35" ht="18.75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650" t="s">
        <v>408</v>
      </c>
      <c r="Y541" s="448" t="s">
        <v>6</v>
      </c>
      <c r="Z541" s="481"/>
      <c r="AA541" s="477"/>
      <c r="AB541" s="541"/>
      <c r="AC541" s="482"/>
      <c r="AD541" s="668">
        <f>AD542+AD567</f>
        <v>20143</v>
      </c>
      <c r="AE541" s="632">
        <f>AE542+AE567</f>
        <v>17213.600000000002</v>
      </c>
      <c r="AF541" s="642">
        <f>AF542+AF567</f>
        <v>17213.600000000002</v>
      </c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650" t="s">
        <v>25</v>
      </c>
      <c r="Y542" s="448" t="s">
        <v>6</v>
      </c>
      <c r="Z542" s="449" t="s">
        <v>29</v>
      </c>
      <c r="AA542" s="540"/>
      <c r="AB542" s="541"/>
      <c r="AC542" s="476"/>
      <c r="AD542" s="668">
        <f t="shared" ref="AD542:AF542" si="167">AD543</f>
        <v>19670.3</v>
      </c>
      <c r="AE542" s="632">
        <f t="shared" si="167"/>
        <v>16740.900000000001</v>
      </c>
      <c r="AF542" s="642">
        <f t="shared" si="167"/>
        <v>16740.900000000001</v>
      </c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28</v>
      </c>
      <c r="Y543" s="452" t="s">
        <v>6</v>
      </c>
      <c r="Z543" s="453" t="s">
        <v>29</v>
      </c>
      <c r="AA543" s="453" t="s">
        <v>7</v>
      </c>
      <c r="AB543" s="539"/>
      <c r="AC543" s="482"/>
      <c r="AD543" s="669">
        <f>AD550+AD544</f>
        <v>19670.3</v>
      </c>
      <c r="AE543" s="633">
        <f>AE550</f>
        <v>16740.900000000001</v>
      </c>
      <c r="AF543" s="643">
        <f>AF550</f>
        <v>16740.900000000001</v>
      </c>
      <c r="AG543" s="3"/>
      <c r="AH543" s="3"/>
    </row>
    <row r="544" spans="1:3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7" t="s">
        <v>186</v>
      </c>
      <c r="Y544" s="452" t="s">
        <v>6</v>
      </c>
      <c r="Z544" s="453" t="s">
        <v>29</v>
      </c>
      <c r="AA544" s="454" t="s">
        <v>7</v>
      </c>
      <c r="AB544" s="458" t="s">
        <v>112</v>
      </c>
      <c r="AC544" s="456"/>
      <c r="AD544" s="695">
        <f>AD545</f>
        <v>20</v>
      </c>
      <c r="AE544" s="695">
        <f t="shared" ref="AE544:AF548" si="168">AE545</f>
        <v>0</v>
      </c>
      <c r="AF544" s="695">
        <f t="shared" si="168"/>
        <v>0</v>
      </c>
      <c r="AG544" s="3"/>
      <c r="AH544" s="3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7" t="s">
        <v>189</v>
      </c>
      <c r="Y545" s="452" t="s">
        <v>6</v>
      </c>
      <c r="Z545" s="453" t="s">
        <v>29</v>
      </c>
      <c r="AA545" s="454" t="s">
        <v>7</v>
      </c>
      <c r="AB545" s="458" t="s">
        <v>190</v>
      </c>
      <c r="AC545" s="456"/>
      <c r="AD545" s="695">
        <f>AD546</f>
        <v>20</v>
      </c>
      <c r="AE545" s="695">
        <f t="shared" si="168"/>
        <v>0</v>
      </c>
      <c r="AF545" s="695">
        <f t="shared" si="168"/>
        <v>0</v>
      </c>
      <c r="AG545" s="3"/>
      <c r="AH545" s="3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533</v>
      </c>
      <c r="Y546" s="452" t="s">
        <v>6</v>
      </c>
      <c r="Z546" s="453" t="s">
        <v>29</v>
      </c>
      <c r="AA546" s="454" t="s">
        <v>7</v>
      </c>
      <c r="AB546" s="464" t="s">
        <v>534</v>
      </c>
      <c r="AC546" s="460"/>
      <c r="AD546" s="695">
        <f>AD547</f>
        <v>20</v>
      </c>
      <c r="AE546" s="695">
        <f t="shared" si="168"/>
        <v>0</v>
      </c>
      <c r="AF546" s="695">
        <f t="shared" si="168"/>
        <v>0</v>
      </c>
      <c r="AG546" s="3"/>
      <c r="AH546" s="3"/>
    </row>
    <row r="547" spans="1:34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405</v>
      </c>
      <c r="Y547" s="452" t="s">
        <v>6</v>
      </c>
      <c r="Z547" s="453" t="s">
        <v>29</v>
      </c>
      <c r="AA547" s="454" t="s">
        <v>7</v>
      </c>
      <c r="AB547" s="458" t="s">
        <v>535</v>
      </c>
      <c r="AC547" s="460"/>
      <c r="AD547" s="695">
        <f>AD548</f>
        <v>20</v>
      </c>
      <c r="AE547" s="695">
        <f t="shared" si="168"/>
        <v>0</v>
      </c>
      <c r="AF547" s="695">
        <f t="shared" si="168"/>
        <v>0</v>
      </c>
      <c r="AG547" s="3"/>
      <c r="AH547" s="3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120</v>
      </c>
      <c r="Y548" s="452" t="s">
        <v>6</v>
      </c>
      <c r="Z548" s="453" t="s">
        <v>29</v>
      </c>
      <c r="AA548" s="454" t="s">
        <v>7</v>
      </c>
      <c r="AB548" s="458" t="s">
        <v>535</v>
      </c>
      <c r="AC548" s="460">
        <v>200</v>
      </c>
      <c r="AD548" s="695">
        <f>AD549</f>
        <v>20</v>
      </c>
      <c r="AE548" s="695">
        <f t="shared" si="168"/>
        <v>0</v>
      </c>
      <c r="AF548" s="695">
        <f t="shared" si="168"/>
        <v>0</v>
      </c>
      <c r="AG548" s="3"/>
      <c r="AH548" s="3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52</v>
      </c>
      <c r="Y549" s="452" t="s">
        <v>6</v>
      </c>
      <c r="Z549" s="453" t="s">
        <v>29</v>
      </c>
      <c r="AA549" s="454" t="s">
        <v>7</v>
      </c>
      <c r="AB549" s="458" t="s">
        <v>535</v>
      </c>
      <c r="AC549" s="460">
        <v>240</v>
      </c>
      <c r="AD549" s="695">
        <v>20</v>
      </c>
      <c r="AE549" s="695">
        <v>0</v>
      </c>
      <c r="AF549" s="695">
        <v>0</v>
      </c>
      <c r="AG549" s="3"/>
      <c r="AH549" s="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7" t="s">
        <v>274</v>
      </c>
      <c r="Y550" s="452" t="s">
        <v>6</v>
      </c>
      <c r="Z550" s="453" t="s">
        <v>29</v>
      </c>
      <c r="AA550" s="453" t="s">
        <v>7</v>
      </c>
      <c r="AB550" s="542" t="s">
        <v>99</v>
      </c>
      <c r="AC550" s="482"/>
      <c r="AD550" s="669">
        <f>AD551+AD555+AD557</f>
        <v>19650.3</v>
      </c>
      <c r="AE550" s="633">
        <f>AE551+AE555+AE557</f>
        <v>16740.900000000001</v>
      </c>
      <c r="AF550" s="643">
        <f>AF551+AF555+AF557</f>
        <v>16740.900000000001</v>
      </c>
      <c r="AG550" s="3"/>
      <c r="AH550" s="3"/>
    </row>
    <row r="551" spans="1:34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64" t="s">
        <v>281</v>
      </c>
      <c r="Y551" s="452" t="s">
        <v>6</v>
      </c>
      <c r="Z551" s="453" t="s">
        <v>29</v>
      </c>
      <c r="AA551" s="453" t="s">
        <v>7</v>
      </c>
      <c r="AB551" s="542" t="s">
        <v>284</v>
      </c>
      <c r="AC551" s="454"/>
      <c r="AD551" s="669">
        <f t="shared" ref="AD551:AF552" si="169">AD552</f>
        <v>3495</v>
      </c>
      <c r="AE551" s="633">
        <f t="shared" si="169"/>
        <v>2936</v>
      </c>
      <c r="AF551" s="643">
        <f t="shared" si="169"/>
        <v>2936</v>
      </c>
      <c r="AG551" s="3"/>
      <c r="AH551" s="3"/>
    </row>
    <row r="552" spans="1:34" ht="47.2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41</v>
      </c>
      <c r="Y552" s="452" t="s">
        <v>6</v>
      </c>
      <c r="Z552" s="453" t="s">
        <v>29</v>
      </c>
      <c r="AA552" s="453" t="s">
        <v>7</v>
      </c>
      <c r="AB552" s="542" t="s">
        <v>284</v>
      </c>
      <c r="AC552" s="482">
        <v>100</v>
      </c>
      <c r="AD552" s="669">
        <f t="shared" si="169"/>
        <v>3495</v>
      </c>
      <c r="AE552" s="633">
        <f t="shared" si="169"/>
        <v>2936</v>
      </c>
      <c r="AF552" s="643">
        <f t="shared" si="169"/>
        <v>2936</v>
      </c>
      <c r="AG552" s="3"/>
      <c r="AH552" s="3"/>
    </row>
    <row r="553" spans="1:34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96</v>
      </c>
      <c r="Y553" s="452" t="s">
        <v>6</v>
      </c>
      <c r="Z553" s="453" t="s">
        <v>29</v>
      </c>
      <c r="AA553" s="453" t="s">
        <v>7</v>
      </c>
      <c r="AB553" s="542" t="s">
        <v>284</v>
      </c>
      <c r="AC553" s="454">
        <v>120</v>
      </c>
      <c r="AD553" s="669">
        <f>2936+559</f>
        <v>3495</v>
      </c>
      <c r="AE553" s="633">
        <v>2936</v>
      </c>
      <c r="AF553" s="643">
        <v>2936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329</v>
      </c>
      <c r="Y554" s="452" t="s">
        <v>6</v>
      </c>
      <c r="Z554" s="453" t="s">
        <v>29</v>
      </c>
      <c r="AA554" s="453" t="s">
        <v>7</v>
      </c>
      <c r="AB554" s="542" t="s">
        <v>285</v>
      </c>
      <c r="AC554" s="454"/>
      <c r="AD554" s="669">
        <f>AD556</f>
        <v>2501</v>
      </c>
      <c r="AE554" s="633">
        <f>AE556</f>
        <v>2279.5</v>
      </c>
      <c r="AF554" s="643">
        <f>AF556</f>
        <v>2279.5</v>
      </c>
      <c r="AG554" s="143"/>
      <c r="AH554" s="143"/>
    </row>
    <row r="555" spans="1:34" ht="47.2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1" t="s">
        <v>41</v>
      </c>
      <c r="Y555" s="452" t="s">
        <v>6</v>
      </c>
      <c r="Z555" s="453" t="s">
        <v>29</v>
      </c>
      <c r="AA555" s="453" t="s">
        <v>7</v>
      </c>
      <c r="AB555" s="542" t="s">
        <v>285</v>
      </c>
      <c r="AC555" s="482">
        <v>100</v>
      </c>
      <c r="AD555" s="669">
        <f>AD556</f>
        <v>2501</v>
      </c>
      <c r="AE555" s="633">
        <f>AE556</f>
        <v>2279.5</v>
      </c>
      <c r="AF555" s="643">
        <f>AF556</f>
        <v>2279.5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96</v>
      </c>
      <c r="Y556" s="452" t="s">
        <v>6</v>
      </c>
      <c r="Z556" s="453" t="s">
        <v>29</v>
      </c>
      <c r="AA556" s="453" t="s">
        <v>7</v>
      </c>
      <c r="AB556" s="542" t="s">
        <v>285</v>
      </c>
      <c r="AC556" s="454">
        <v>120</v>
      </c>
      <c r="AD556" s="669">
        <f>2279.5+221.5</f>
        <v>2501</v>
      </c>
      <c r="AE556" s="633">
        <v>2279.5</v>
      </c>
      <c r="AF556" s="643">
        <v>2279.5</v>
      </c>
      <c r="AG556" s="143"/>
      <c r="AH556" s="143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65" t="s">
        <v>282</v>
      </c>
      <c r="Y557" s="452" t="s">
        <v>6</v>
      </c>
      <c r="Z557" s="453" t="s">
        <v>29</v>
      </c>
      <c r="AA557" s="453" t="s">
        <v>7</v>
      </c>
      <c r="AB557" s="542" t="s">
        <v>283</v>
      </c>
      <c r="AC557" s="454"/>
      <c r="AD557" s="669">
        <f>AD558+AD561+AD564</f>
        <v>13654.3</v>
      </c>
      <c r="AE557" s="633">
        <f>AE558+AE561+AE564</f>
        <v>11525.4</v>
      </c>
      <c r="AF557" s="643">
        <f>AF558+AF561+AF564</f>
        <v>11525.4</v>
      </c>
      <c r="AG557" s="143"/>
      <c r="AH557" s="143"/>
    </row>
    <row r="558" spans="1:34" ht="31.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286</v>
      </c>
      <c r="Y558" s="452" t="s">
        <v>6</v>
      </c>
      <c r="Z558" s="453" t="s">
        <v>29</v>
      </c>
      <c r="AA558" s="453" t="s">
        <v>7</v>
      </c>
      <c r="AB558" s="542" t="s">
        <v>287</v>
      </c>
      <c r="AC558" s="454"/>
      <c r="AD558" s="669">
        <f t="shared" ref="AD558:AF559" si="170">AD559</f>
        <v>3529.9</v>
      </c>
      <c r="AE558" s="633">
        <f t="shared" si="170"/>
        <v>1849.9</v>
      </c>
      <c r="AF558" s="643">
        <f t="shared" si="170"/>
        <v>1849.9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120</v>
      </c>
      <c r="Y559" s="452" t="s">
        <v>6</v>
      </c>
      <c r="Z559" s="453" t="s">
        <v>29</v>
      </c>
      <c r="AA559" s="453" t="s">
        <v>7</v>
      </c>
      <c r="AB559" s="542" t="s">
        <v>287</v>
      </c>
      <c r="AC559" s="454">
        <v>200</v>
      </c>
      <c r="AD559" s="669">
        <f t="shared" si="170"/>
        <v>3529.9</v>
      </c>
      <c r="AE559" s="633">
        <f t="shared" si="170"/>
        <v>1849.9</v>
      </c>
      <c r="AF559" s="643">
        <f t="shared" si="170"/>
        <v>1849.9</v>
      </c>
      <c r="AG559" s="143"/>
      <c r="AH559" s="143"/>
    </row>
    <row r="560" spans="1:34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51" t="s">
        <v>52</v>
      </c>
      <c r="Y560" s="452" t="s">
        <v>6</v>
      </c>
      <c r="Z560" s="453" t="s">
        <v>29</v>
      </c>
      <c r="AA560" s="453" t="s">
        <v>7</v>
      </c>
      <c r="AB560" s="542" t="s">
        <v>287</v>
      </c>
      <c r="AC560" s="454">
        <v>240</v>
      </c>
      <c r="AD560" s="669">
        <f>1849.9-20+1100+600</f>
        <v>3529.9</v>
      </c>
      <c r="AE560" s="633">
        <v>1849.9</v>
      </c>
      <c r="AF560" s="643">
        <v>1849.9</v>
      </c>
      <c r="AG560" s="265"/>
      <c r="AH560" s="143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290</v>
      </c>
      <c r="Y561" s="452" t="s">
        <v>6</v>
      </c>
      <c r="Z561" s="453" t="s">
        <v>29</v>
      </c>
      <c r="AA561" s="453" t="s">
        <v>7</v>
      </c>
      <c r="AB561" s="542" t="s">
        <v>288</v>
      </c>
      <c r="AC561" s="454"/>
      <c r="AD561" s="669">
        <f>AD562</f>
        <v>5228</v>
      </c>
      <c r="AE561" s="633">
        <f t="shared" ref="AD561:AF562" si="171">AE562</f>
        <v>4779.1000000000004</v>
      </c>
      <c r="AF561" s="643">
        <f t="shared" si="171"/>
        <v>4779.1000000000004</v>
      </c>
      <c r="AG561" s="143"/>
      <c r="AH561" s="143"/>
    </row>
    <row r="562" spans="1:34" ht="47.2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1" t="s">
        <v>41</v>
      </c>
      <c r="Y562" s="452" t="s">
        <v>6</v>
      </c>
      <c r="Z562" s="453" t="s">
        <v>29</v>
      </c>
      <c r="AA562" s="453" t="s">
        <v>7</v>
      </c>
      <c r="AB562" s="542" t="s">
        <v>288</v>
      </c>
      <c r="AC562" s="482">
        <v>100</v>
      </c>
      <c r="AD562" s="669">
        <f t="shared" si="171"/>
        <v>5228</v>
      </c>
      <c r="AE562" s="633">
        <f t="shared" si="171"/>
        <v>4779.1000000000004</v>
      </c>
      <c r="AF562" s="643">
        <f t="shared" si="171"/>
        <v>4779.1000000000004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1" t="s">
        <v>96</v>
      </c>
      <c r="Y563" s="452" t="s">
        <v>6</v>
      </c>
      <c r="Z563" s="453" t="s">
        <v>29</v>
      </c>
      <c r="AA563" s="453" t="s">
        <v>7</v>
      </c>
      <c r="AB563" s="542" t="s">
        <v>288</v>
      </c>
      <c r="AC563" s="454">
        <v>120</v>
      </c>
      <c r="AD563" s="669">
        <f>4779.1+448.9</f>
        <v>5228</v>
      </c>
      <c r="AE563" s="633">
        <v>4779.1000000000004</v>
      </c>
      <c r="AF563" s="643">
        <v>4779.1000000000004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1" t="s">
        <v>291</v>
      </c>
      <c r="Y564" s="452" t="s">
        <v>6</v>
      </c>
      <c r="Z564" s="453" t="s">
        <v>29</v>
      </c>
      <c r="AA564" s="453" t="s">
        <v>7</v>
      </c>
      <c r="AB564" s="542" t="s">
        <v>289</v>
      </c>
      <c r="AC564" s="454"/>
      <c r="AD564" s="669">
        <f t="shared" ref="AD564:AF565" si="172">AD565</f>
        <v>4896.3999999999996</v>
      </c>
      <c r="AE564" s="633">
        <f t="shared" si="172"/>
        <v>4896.3999999999996</v>
      </c>
      <c r="AF564" s="643">
        <f t="shared" si="172"/>
        <v>4896.3999999999996</v>
      </c>
      <c r="AG564" s="143"/>
      <c r="AH564" s="143"/>
    </row>
    <row r="565" spans="1:34" ht="47.2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51" t="s">
        <v>41</v>
      </c>
      <c r="Y565" s="452" t="s">
        <v>6</v>
      </c>
      <c r="Z565" s="453" t="s">
        <v>29</v>
      </c>
      <c r="AA565" s="453" t="s">
        <v>7</v>
      </c>
      <c r="AB565" s="542" t="s">
        <v>289</v>
      </c>
      <c r="AC565" s="482">
        <v>100</v>
      </c>
      <c r="AD565" s="669">
        <f t="shared" si="172"/>
        <v>4896.3999999999996</v>
      </c>
      <c r="AE565" s="633">
        <f t="shared" si="172"/>
        <v>4896.3999999999996</v>
      </c>
      <c r="AF565" s="643">
        <f t="shared" si="172"/>
        <v>4896.3999999999996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96</v>
      </c>
      <c r="Y566" s="452" t="s">
        <v>6</v>
      </c>
      <c r="Z566" s="453" t="s">
        <v>29</v>
      </c>
      <c r="AA566" s="453" t="s">
        <v>7</v>
      </c>
      <c r="AB566" s="542" t="s">
        <v>289</v>
      </c>
      <c r="AC566" s="454">
        <v>120</v>
      </c>
      <c r="AD566" s="669">
        <v>4896.3999999999996</v>
      </c>
      <c r="AE566" s="633">
        <v>4896.3999999999996</v>
      </c>
      <c r="AF566" s="643">
        <v>4896.3999999999996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650" t="s">
        <v>94</v>
      </c>
      <c r="Y567" s="448" t="s">
        <v>6</v>
      </c>
      <c r="Z567" s="471" t="s">
        <v>36</v>
      </c>
      <c r="AA567" s="540"/>
      <c r="AB567" s="539"/>
      <c r="AC567" s="476"/>
      <c r="AD567" s="668">
        <f t="shared" ref="AD567:AF573" si="173">AD568</f>
        <v>472.7</v>
      </c>
      <c r="AE567" s="632">
        <f t="shared" si="173"/>
        <v>472.7</v>
      </c>
      <c r="AF567" s="642">
        <f t="shared" si="173"/>
        <v>472.7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51" t="s">
        <v>55</v>
      </c>
      <c r="Y568" s="452" t="s">
        <v>6</v>
      </c>
      <c r="Z568" s="453">
        <v>10</v>
      </c>
      <c r="AA568" s="453" t="s">
        <v>29</v>
      </c>
      <c r="AB568" s="541"/>
      <c r="AC568" s="450"/>
      <c r="AD568" s="669">
        <f t="shared" si="173"/>
        <v>472.7</v>
      </c>
      <c r="AE568" s="633">
        <f t="shared" si="173"/>
        <v>472.7</v>
      </c>
      <c r="AF568" s="643">
        <f t="shared" si="173"/>
        <v>472.7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57" t="s">
        <v>292</v>
      </c>
      <c r="Y569" s="452" t="s">
        <v>6</v>
      </c>
      <c r="Z569" s="453">
        <v>10</v>
      </c>
      <c r="AA569" s="453" t="s">
        <v>29</v>
      </c>
      <c r="AB569" s="542" t="s">
        <v>109</v>
      </c>
      <c r="AC569" s="450"/>
      <c r="AD569" s="669">
        <f t="shared" si="173"/>
        <v>472.7</v>
      </c>
      <c r="AE569" s="633">
        <f t="shared" si="173"/>
        <v>472.7</v>
      </c>
      <c r="AF569" s="643">
        <f t="shared" si="173"/>
        <v>472.7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7" t="s">
        <v>293</v>
      </c>
      <c r="Y570" s="452" t="s">
        <v>6</v>
      </c>
      <c r="Z570" s="453">
        <v>10</v>
      </c>
      <c r="AA570" s="453" t="s">
        <v>29</v>
      </c>
      <c r="AB570" s="542" t="s">
        <v>118</v>
      </c>
      <c r="AC570" s="450"/>
      <c r="AD570" s="669">
        <f t="shared" si="173"/>
        <v>472.7</v>
      </c>
      <c r="AE570" s="633">
        <f t="shared" si="173"/>
        <v>472.7</v>
      </c>
      <c r="AF570" s="643">
        <f t="shared" si="173"/>
        <v>472.7</v>
      </c>
      <c r="AG570" s="143"/>
      <c r="AH570" s="14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465</v>
      </c>
      <c r="Y571" s="452" t="s">
        <v>6</v>
      </c>
      <c r="Z571" s="453">
        <v>10</v>
      </c>
      <c r="AA571" s="453" t="s">
        <v>29</v>
      </c>
      <c r="AB571" s="542" t="s">
        <v>464</v>
      </c>
      <c r="AC571" s="450"/>
      <c r="AD571" s="669">
        <f t="shared" si="173"/>
        <v>472.7</v>
      </c>
      <c r="AE571" s="633">
        <f t="shared" si="173"/>
        <v>472.7</v>
      </c>
      <c r="AF571" s="643">
        <f t="shared" si="173"/>
        <v>472.7</v>
      </c>
      <c r="AG571" s="143"/>
      <c r="AH571" s="143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66" t="s">
        <v>295</v>
      </c>
      <c r="Y572" s="452" t="s">
        <v>6</v>
      </c>
      <c r="Z572" s="453">
        <v>10</v>
      </c>
      <c r="AA572" s="453" t="s">
        <v>29</v>
      </c>
      <c r="AB572" s="542" t="s">
        <v>463</v>
      </c>
      <c r="AC572" s="450"/>
      <c r="AD572" s="669">
        <f t="shared" si="173"/>
        <v>472.7</v>
      </c>
      <c r="AE572" s="633">
        <f t="shared" si="173"/>
        <v>472.7</v>
      </c>
      <c r="AF572" s="643">
        <f t="shared" si="173"/>
        <v>472.7</v>
      </c>
      <c r="AG572" s="143"/>
      <c r="AH572" s="143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1" t="s">
        <v>97</v>
      </c>
      <c r="Y573" s="452" t="s">
        <v>6</v>
      </c>
      <c r="Z573" s="453">
        <v>10</v>
      </c>
      <c r="AA573" s="453" t="s">
        <v>29</v>
      </c>
      <c r="AB573" s="542" t="s">
        <v>463</v>
      </c>
      <c r="AC573" s="454">
        <v>300</v>
      </c>
      <c r="AD573" s="669">
        <f t="shared" si="173"/>
        <v>472.7</v>
      </c>
      <c r="AE573" s="633">
        <f t="shared" si="173"/>
        <v>472.7</v>
      </c>
      <c r="AF573" s="643">
        <f t="shared" si="173"/>
        <v>472.7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51" t="s">
        <v>40</v>
      </c>
      <c r="Y574" s="452" t="s">
        <v>6</v>
      </c>
      <c r="Z574" s="453">
        <v>10</v>
      </c>
      <c r="AA574" s="453" t="s">
        <v>29</v>
      </c>
      <c r="AB574" s="542" t="s">
        <v>463</v>
      </c>
      <c r="AC574" s="454">
        <v>320</v>
      </c>
      <c r="AD574" s="669">
        <v>472.7</v>
      </c>
      <c r="AE574" s="633">
        <v>472.7</v>
      </c>
      <c r="AF574" s="643">
        <v>472.7</v>
      </c>
      <c r="AG574" s="143"/>
      <c r="AH574" s="143"/>
    </row>
    <row r="575" spans="1:34" ht="18.75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650" t="s">
        <v>409</v>
      </c>
      <c r="Y575" s="448" t="s">
        <v>26</v>
      </c>
      <c r="Z575" s="481"/>
      <c r="AA575" s="487"/>
      <c r="AB575" s="547"/>
      <c r="AC575" s="483"/>
      <c r="AD575" s="668">
        <f>AD576+AD601</f>
        <v>55968.4</v>
      </c>
      <c r="AE575" s="632">
        <f>AE576+AE601</f>
        <v>34510.700000000004</v>
      </c>
      <c r="AF575" s="642">
        <f>AF576+AF601</f>
        <v>35827.200000000004</v>
      </c>
      <c r="AG575" s="143"/>
      <c r="AH575" s="143"/>
    </row>
    <row r="576" spans="1:34" ht="18.75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650" t="s">
        <v>25</v>
      </c>
      <c r="Y576" s="448" t="s">
        <v>26</v>
      </c>
      <c r="Z576" s="449" t="s">
        <v>29</v>
      </c>
      <c r="AA576" s="552"/>
      <c r="AB576" s="553"/>
      <c r="AC576" s="484"/>
      <c r="AD576" s="668">
        <f>AD577+AD595</f>
        <v>54930.5</v>
      </c>
      <c r="AE576" s="668">
        <f t="shared" ref="AE576:AF576" si="174">AE577+AE595</f>
        <v>33472.800000000003</v>
      </c>
      <c r="AF576" s="668">
        <f t="shared" si="174"/>
        <v>34789.300000000003</v>
      </c>
      <c r="AG576" s="143"/>
      <c r="AH576" s="143"/>
    </row>
    <row r="577" spans="1:34" ht="31.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410</v>
      </c>
      <c r="Y577" s="452" t="s">
        <v>26</v>
      </c>
      <c r="Z577" s="453" t="s">
        <v>29</v>
      </c>
      <c r="AA577" s="453" t="s">
        <v>95</v>
      </c>
      <c r="AB577" s="545"/>
      <c r="AC577" s="454"/>
      <c r="AD577" s="669">
        <f t="shared" ref="AD577:AF578" si="175">AD578</f>
        <v>32019.100000000002</v>
      </c>
      <c r="AE577" s="633">
        <f t="shared" si="175"/>
        <v>31966.9</v>
      </c>
      <c r="AF577" s="643">
        <f t="shared" si="175"/>
        <v>32226.600000000002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7" t="s">
        <v>186</v>
      </c>
      <c r="Y578" s="452" t="s">
        <v>26</v>
      </c>
      <c r="Z578" s="453" t="s">
        <v>29</v>
      </c>
      <c r="AA578" s="453" t="s">
        <v>95</v>
      </c>
      <c r="AB578" s="542" t="s">
        <v>112</v>
      </c>
      <c r="AC578" s="454"/>
      <c r="AD578" s="669">
        <f t="shared" si="175"/>
        <v>32019.100000000002</v>
      </c>
      <c r="AE578" s="633">
        <f t="shared" si="175"/>
        <v>31966.9</v>
      </c>
      <c r="AF578" s="643">
        <f t="shared" si="175"/>
        <v>32226.600000000002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57" t="s">
        <v>189</v>
      </c>
      <c r="Y579" s="452" t="s">
        <v>26</v>
      </c>
      <c r="Z579" s="453" t="s">
        <v>29</v>
      </c>
      <c r="AA579" s="453" t="s">
        <v>95</v>
      </c>
      <c r="AB579" s="542" t="s">
        <v>190</v>
      </c>
      <c r="AC579" s="454"/>
      <c r="AD579" s="669">
        <f>AD580+AD591</f>
        <v>32019.100000000002</v>
      </c>
      <c r="AE579" s="633">
        <f>AE580+AE591</f>
        <v>31966.9</v>
      </c>
      <c r="AF579" s="643">
        <f>AF580+AF591</f>
        <v>32226.600000000002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57" t="s">
        <v>191</v>
      </c>
      <c r="Y580" s="452" t="s">
        <v>26</v>
      </c>
      <c r="Z580" s="453" t="s">
        <v>29</v>
      </c>
      <c r="AA580" s="453" t="s">
        <v>95</v>
      </c>
      <c r="AB580" s="542" t="s">
        <v>192</v>
      </c>
      <c r="AC580" s="454"/>
      <c r="AD580" s="669">
        <f>AD581</f>
        <v>31825.4</v>
      </c>
      <c r="AE580" s="633">
        <f>AE581</f>
        <v>31765.600000000002</v>
      </c>
      <c r="AF580" s="643">
        <f>AF581</f>
        <v>31765.600000000002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65" t="s">
        <v>209</v>
      </c>
      <c r="Y581" s="452" t="s">
        <v>26</v>
      </c>
      <c r="Z581" s="453" t="s">
        <v>29</v>
      </c>
      <c r="AA581" s="453" t="s">
        <v>95</v>
      </c>
      <c r="AB581" s="544" t="s">
        <v>210</v>
      </c>
      <c r="AC581" s="454"/>
      <c r="AD581" s="669">
        <f>AD582+AD585+AD588</f>
        <v>31825.4</v>
      </c>
      <c r="AE581" s="633">
        <f>AE582+AE585+AE588</f>
        <v>31765.600000000002</v>
      </c>
      <c r="AF581" s="643">
        <f>AF582+AF585+AF588</f>
        <v>31765.600000000002</v>
      </c>
      <c r="AG581" s="143"/>
      <c r="AH581" s="14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51" t="s">
        <v>211</v>
      </c>
      <c r="Y582" s="452" t="s">
        <v>26</v>
      </c>
      <c r="Z582" s="453" t="s">
        <v>29</v>
      </c>
      <c r="AA582" s="453" t="s">
        <v>95</v>
      </c>
      <c r="AB582" s="544" t="s">
        <v>212</v>
      </c>
      <c r="AC582" s="454"/>
      <c r="AD582" s="669">
        <f>AD583</f>
        <v>3669.3</v>
      </c>
      <c r="AE582" s="633">
        <f t="shared" ref="AE582:AF582" si="176">AE583</f>
        <v>3657.8</v>
      </c>
      <c r="AF582" s="643">
        <f t="shared" si="176"/>
        <v>3657.8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51" t="s">
        <v>120</v>
      </c>
      <c r="Y583" s="452" t="s">
        <v>26</v>
      </c>
      <c r="Z583" s="453" t="s">
        <v>29</v>
      </c>
      <c r="AA583" s="453" t="s">
        <v>95</v>
      </c>
      <c r="AB583" s="544" t="s">
        <v>212</v>
      </c>
      <c r="AC583" s="454">
        <v>200</v>
      </c>
      <c r="AD583" s="669">
        <f>AD584</f>
        <v>3669.3</v>
      </c>
      <c r="AE583" s="633">
        <f>AE584</f>
        <v>3657.8</v>
      </c>
      <c r="AF583" s="643">
        <f>AF584</f>
        <v>3657.8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51" t="s">
        <v>52</v>
      </c>
      <c r="Y584" s="452" t="s">
        <v>26</v>
      </c>
      <c r="Z584" s="453" t="s">
        <v>29</v>
      </c>
      <c r="AA584" s="453" t="s">
        <v>95</v>
      </c>
      <c r="AB584" s="544" t="s">
        <v>212</v>
      </c>
      <c r="AC584" s="454">
        <v>240</v>
      </c>
      <c r="AD584" s="669">
        <f>3657.8+11.5</f>
        <v>3669.3</v>
      </c>
      <c r="AE584" s="633">
        <v>3657.8</v>
      </c>
      <c r="AF584" s="643">
        <v>3657.8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1" t="s">
        <v>216</v>
      </c>
      <c r="Y585" s="452" t="s">
        <v>26</v>
      </c>
      <c r="Z585" s="453" t="s">
        <v>29</v>
      </c>
      <c r="AA585" s="453" t="s">
        <v>95</v>
      </c>
      <c r="AB585" s="541" t="str">
        <f>AB586</f>
        <v>12 5 01 00162</v>
      </c>
      <c r="AC585" s="454"/>
      <c r="AD585" s="669">
        <f>AD587</f>
        <v>15536.1</v>
      </c>
      <c r="AE585" s="633">
        <f>AE587</f>
        <v>15536.1</v>
      </c>
      <c r="AF585" s="643">
        <f>AF587</f>
        <v>15536.1</v>
      </c>
      <c r="AG585" s="143"/>
      <c r="AH585" s="143"/>
    </row>
    <row r="586" spans="1:34" ht="47.2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1" t="s">
        <v>41</v>
      </c>
      <c r="Y586" s="452" t="s">
        <v>26</v>
      </c>
      <c r="Z586" s="453" t="s">
        <v>29</v>
      </c>
      <c r="AA586" s="453" t="s">
        <v>95</v>
      </c>
      <c r="AB586" s="541" t="str">
        <f>AB587</f>
        <v>12 5 01 00162</v>
      </c>
      <c r="AC586" s="454">
        <v>100</v>
      </c>
      <c r="AD586" s="669">
        <f>AD587</f>
        <v>15536.1</v>
      </c>
      <c r="AE586" s="633">
        <f>AE587</f>
        <v>15536.1</v>
      </c>
      <c r="AF586" s="643">
        <f>AF587</f>
        <v>15536.1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1" t="s">
        <v>96</v>
      </c>
      <c r="Y587" s="452" t="s">
        <v>26</v>
      </c>
      <c r="Z587" s="453" t="s">
        <v>29</v>
      </c>
      <c r="AA587" s="453" t="s">
        <v>95</v>
      </c>
      <c r="AB587" s="544" t="s">
        <v>213</v>
      </c>
      <c r="AC587" s="454">
        <v>120</v>
      </c>
      <c r="AD587" s="669">
        <f>18060.7-2524.6</f>
        <v>15536.1</v>
      </c>
      <c r="AE587" s="633">
        <f>18060.7-2524.6</f>
        <v>15536.1</v>
      </c>
      <c r="AF587" s="643">
        <f>18060.7-2524.6</f>
        <v>15536.1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215</v>
      </c>
      <c r="Y588" s="452" t="s">
        <v>26</v>
      </c>
      <c r="Z588" s="453" t="s">
        <v>29</v>
      </c>
      <c r="AA588" s="453" t="s">
        <v>95</v>
      </c>
      <c r="AB588" s="541" t="str">
        <f>AB589</f>
        <v>12 5 01 00163</v>
      </c>
      <c r="AC588" s="454"/>
      <c r="AD588" s="669">
        <f>AD590</f>
        <v>12620</v>
      </c>
      <c r="AE588" s="633">
        <f>AE590</f>
        <v>12571.7</v>
      </c>
      <c r="AF588" s="643">
        <f>AF590</f>
        <v>12571.7</v>
      </c>
      <c r="AG588" s="143"/>
      <c r="AH588" s="143"/>
    </row>
    <row r="589" spans="1:34" ht="47.2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41</v>
      </c>
      <c r="Y589" s="452" t="s">
        <v>26</v>
      </c>
      <c r="Z589" s="453" t="s">
        <v>29</v>
      </c>
      <c r="AA589" s="453" t="s">
        <v>95</v>
      </c>
      <c r="AB589" s="541" t="str">
        <f>AB590</f>
        <v>12 5 01 00163</v>
      </c>
      <c r="AC589" s="454">
        <v>100</v>
      </c>
      <c r="AD589" s="669">
        <f>AD590</f>
        <v>12620</v>
      </c>
      <c r="AE589" s="633">
        <f>AE590</f>
        <v>12571.7</v>
      </c>
      <c r="AF589" s="643">
        <f>AF590</f>
        <v>12571.7</v>
      </c>
      <c r="AG589" s="143"/>
      <c r="AH589" s="14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96</v>
      </c>
      <c r="Y590" s="452" t="s">
        <v>26</v>
      </c>
      <c r="Z590" s="453" t="s">
        <v>29</v>
      </c>
      <c r="AA590" s="453" t="s">
        <v>95</v>
      </c>
      <c r="AB590" s="544" t="s">
        <v>214</v>
      </c>
      <c r="AC590" s="454">
        <v>120</v>
      </c>
      <c r="AD590" s="669">
        <f>12571.7+48.3</f>
        <v>12620</v>
      </c>
      <c r="AE590" s="633">
        <v>12571.7</v>
      </c>
      <c r="AF590" s="643">
        <v>12571.7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533</v>
      </c>
      <c r="Y591" s="452" t="s">
        <v>26</v>
      </c>
      <c r="Z591" s="453" t="s">
        <v>29</v>
      </c>
      <c r="AA591" s="453" t="s">
        <v>95</v>
      </c>
      <c r="AB591" s="544" t="s">
        <v>534</v>
      </c>
      <c r="AC591" s="454"/>
      <c r="AD591" s="669">
        <f>AD592</f>
        <v>193.7</v>
      </c>
      <c r="AE591" s="633">
        <f t="shared" ref="AE591:AF593" si="177">AE592</f>
        <v>201.3</v>
      </c>
      <c r="AF591" s="643">
        <f t="shared" si="177"/>
        <v>461</v>
      </c>
      <c r="AG591" s="143"/>
      <c r="AH591" s="143"/>
    </row>
    <row r="592" spans="1:34" ht="78.7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405</v>
      </c>
      <c r="Y592" s="452" t="s">
        <v>26</v>
      </c>
      <c r="Z592" s="453" t="s">
        <v>29</v>
      </c>
      <c r="AA592" s="453" t="s">
        <v>95</v>
      </c>
      <c r="AB592" s="542" t="s">
        <v>535</v>
      </c>
      <c r="AC592" s="454"/>
      <c r="AD592" s="669">
        <f>AD593</f>
        <v>193.7</v>
      </c>
      <c r="AE592" s="633">
        <f t="shared" si="177"/>
        <v>201.3</v>
      </c>
      <c r="AF592" s="643">
        <f t="shared" si="177"/>
        <v>461</v>
      </c>
      <c r="AG592" s="143"/>
      <c r="AH592" s="14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120</v>
      </c>
      <c r="Y593" s="452" t="s">
        <v>26</v>
      </c>
      <c r="Z593" s="453" t="s">
        <v>29</v>
      </c>
      <c r="AA593" s="453" t="s">
        <v>95</v>
      </c>
      <c r="AB593" s="542" t="s">
        <v>535</v>
      </c>
      <c r="AC593" s="454">
        <v>200</v>
      </c>
      <c r="AD593" s="669">
        <f>AD594</f>
        <v>193.7</v>
      </c>
      <c r="AE593" s="633">
        <f t="shared" si="177"/>
        <v>201.3</v>
      </c>
      <c r="AF593" s="643">
        <f t="shared" si="177"/>
        <v>461</v>
      </c>
      <c r="AG593" s="143"/>
      <c r="AH593" s="143"/>
    </row>
    <row r="594" spans="1:34" ht="31.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52</v>
      </c>
      <c r="Y594" s="452" t="s">
        <v>26</v>
      </c>
      <c r="Z594" s="453" t="s">
        <v>29</v>
      </c>
      <c r="AA594" s="453" t="s">
        <v>95</v>
      </c>
      <c r="AB594" s="542" t="s">
        <v>535</v>
      </c>
      <c r="AC594" s="454">
        <v>240</v>
      </c>
      <c r="AD594" s="669">
        <v>193.7</v>
      </c>
      <c r="AE594" s="633">
        <v>201.3</v>
      </c>
      <c r="AF594" s="643">
        <v>461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14</v>
      </c>
      <c r="Y595" s="452" t="s">
        <v>26</v>
      </c>
      <c r="Z595" s="453" t="s">
        <v>29</v>
      </c>
      <c r="AA595" s="453">
        <v>13</v>
      </c>
      <c r="AB595" s="545"/>
      <c r="AC595" s="454"/>
      <c r="AD595" s="669">
        <f>AD596</f>
        <v>22911.4</v>
      </c>
      <c r="AE595" s="669">
        <f t="shared" ref="AE595:AF597" si="178">AE596</f>
        <v>1505.8999999999996</v>
      </c>
      <c r="AF595" s="669">
        <f t="shared" si="178"/>
        <v>2562.7000000000003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7" t="s">
        <v>225</v>
      </c>
      <c r="Y596" s="452" t="s">
        <v>26</v>
      </c>
      <c r="Z596" s="453" t="s">
        <v>29</v>
      </c>
      <c r="AA596" s="453">
        <v>13</v>
      </c>
      <c r="AB596" s="542" t="s">
        <v>137</v>
      </c>
      <c r="AC596" s="454"/>
      <c r="AD596" s="669">
        <f>AD597</f>
        <v>22911.4</v>
      </c>
      <c r="AE596" s="669">
        <f t="shared" si="178"/>
        <v>1505.8999999999996</v>
      </c>
      <c r="AF596" s="669">
        <f t="shared" si="178"/>
        <v>2562.7000000000003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426</v>
      </c>
      <c r="Y597" s="452" t="s">
        <v>26</v>
      </c>
      <c r="Z597" s="469" t="s">
        <v>29</v>
      </c>
      <c r="AA597" s="469">
        <v>13</v>
      </c>
      <c r="AB597" s="546" t="s">
        <v>427</v>
      </c>
      <c r="AC597" s="454"/>
      <c r="AD597" s="669">
        <f>AD598</f>
        <v>22911.4</v>
      </c>
      <c r="AE597" s="669">
        <f t="shared" si="178"/>
        <v>1505.8999999999996</v>
      </c>
      <c r="AF597" s="669">
        <f t="shared" si="178"/>
        <v>2562.7000000000003</v>
      </c>
      <c r="AG597" s="143"/>
      <c r="AH597" s="143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429</v>
      </c>
      <c r="Y598" s="452" t="s">
        <v>26</v>
      </c>
      <c r="Z598" s="469" t="s">
        <v>29</v>
      </c>
      <c r="AA598" s="469">
        <v>13</v>
      </c>
      <c r="AB598" s="546" t="s">
        <v>430</v>
      </c>
      <c r="AC598" s="470"/>
      <c r="AD598" s="669">
        <f t="shared" ref="AD598:AF599" si="179">AD599</f>
        <v>22911.4</v>
      </c>
      <c r="AE598" s="633">
        <f t="shared" si="179"/>
        <v>1505.8999999999996</v>
      </c>
      <c r="AF598" s="643">
        <f t="shared" si="179"/>
        <v>2562.7000000000003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42</v>
      </c>
      <c r="Y599" s="452" t="s">
        <v>26</v>
      </c>
      <c r="Z599" s="469" t="s">
        <v>29</v>
      </c>
      <c r="AA599" s="469">
        <v>13</v>
      </c>
      <c r="AB599" s="546" t="s">
        <v>430</v>
      </c>
      <c r="AC599" s="470">
        <v>800</v>
      </c>
      <c r="AD599" s="669">
        <f t="shared" si="179"/>
        <v>22911.4</v>
      </c>
      <c r="AE599" s="633">
        <f t="shared" si="179"/>
        <v>1505.8999999999996</v>
      </c>
      <c r="AF599" s="643">
        <f t="shared" si="179"/>
        <v>2562.7000000000003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1" t="s">
        <v>136</v>
      </c>
      <c r="Y600" s="452" t="s">
        <v>26</v>
      </c>
      <c r="Z600" s="469" t="s">
        <v>29</v>
      </c>
      <c r="AA600" s="469">
        <v>13</v>
      </c>
      <c r="AB600" s="546" t="s">
        <v>430</v>
      </c>
      <c r="AC600" s="470">
        <v>870</v>
      </c>
      <c r="AD600" s="670">
        <f>6524.5-1521.1-442-1506.1+160-3000+4000+346.1+18000-3676-5248.2-0.7-669-167.8-327.6-4000-1132.1+15571.4</f>
        <v>22911.4</v>
      </c>
      <c r="AE600" s="633">
        <f>2564.9+132.7-1.3-1190.4</f>
        <v>1505.8999999999996</v>
      </c>
      <c r="AF600" s="643">
        <f>2563.3-0.6</f>
        <v>2562.7000000000003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650" t="s">
        <v>94</v>
      </c>
      <c r="Y601" s="452" t="s">
        <v>26</v>
      </c>
      <c r="Z601" s="471" t="s">
        <v>36</v>
      </c>
      <c r="AA601" s="540"/>
      <c r="AB601" s="539"/>
      <c r="AC601" s="476"/>
      <c r="AD601" s="668">
        <f t="shared" ref="AD601:AF607" si="180">AD602</f>
        <v>1037.9000000000001</v>
      </c>
      <c r="AE601" s="632">
        <f t="shared" si="180"/>
        <v>1037.9000000000001</v>
      </c>
      <c r="AF601" s="642">
        <f t="shared" si="180"/>
        <v>1037.9000000000001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1" t="s">
        <v>55</v>
      </c>
      <c r="Y602" s="452" t="s">
        <v>26</v>
      </c>
      <c r="Z602" s="453">
        <v>10</v>
      </c>
      <c r="AA602" s="453" t="s">
        <v>29</v>
      </c>
      <c r="AB602" s="541"/>
      <c r="AC602" s="450"/>
      <c r="AD602" s="669">
        <f t="shared" si="180"/>
        <v>1037.9000000000001</v>
      </c>
      <c r="AE602" s="633">
        <f t="shared" si="180"/>
        <v>1037.9000000000001</v>
      </c>
      <c r="AF602" s="643">
        <f t="shared" si="180"/>
        <v>1037.9000000000001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7" t="s">
        <v>292</v>
      </c>
      <c r="Y603" s="452" t="s">
        <v>26</v>
      </c>
      <c r="Z603" s="453">
        <v>10</v>
      </c>
      <c r="AA603" s="453" t="s">
        <v>29</v>
      </c>
      <c r="AB603" s="542" t="s">
        <v>109</v>
      </c>
      <c r="AC603" s="450"/>
      <c r="AD603" s="669">
        <f t="shared" si="180"/>
        <v>1037.9000000000001</v>
      </c>
      <c r="AE603" s="633">
        <f t="shared" si="180"/>
        <v>1037.9000000000001</v>
      </c>
      <c r="AF603" s="643">
        <f t="shared" si="180"/>
        <v>1037.9000000000001</v>
      </c>
      <c r="AG603" s="143"/>
      <c r="AH603" s="143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7" t="s">
        <v>293</v>
      </c>
      <c r="Y604" s="452" t="s">
        <v>26</v>
      </c>
      <c r="Z604" s="453">
        <v>10</v>
      </c>
      <c r="AA604" s="453" t="s">
        <v>29</v>
      </c>
      <c r="AB604" s="542" t="s">
        <v>118</v>
      </c>
      <c r="AC604" s="450"/>
      <c r="AD604" s="669">
        <f t="shared" si="180"/>
        <v>1037.9000000000001</v>
      </c>
      <c r="AE604" s="633">
        <f t="shared" si="180"/>
        <v>1037.9000000000001</v>
      </c>
      <c r="AF604" s="643">
        <f t="shared" si="180"/>
        <v>1037.9000000000001</v>
      </c>
      <c r="AG604" s="143"/>
      <c r="AH604" s="143"/>
    </row>
    <row r="605" spans="1:34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7" t="s">
        <v>465</v>
      </c>
      <c r="Y605" s="452" t="s">
        <v>26</v>
      </c>
      <c r="Z605" s="453">
        <v>10</v>
      </c>
      <c r="AA605" s="453" t="s">
        <v>29</v>
      </c>
      <c r="AB605" s="542" t="s">
        <v>464</v>
      </c>
      <c r="AC605" s="450"/>
      <c r="AD605" s="669">
        <f t="shared" si="180"/>
        <v>1037.9000000000001</v>
      </c>
      <c r="AE605" s="633">
        <f t="shared" si="180"/>
        <v>1037.9000000000001</v>
      </c>
      <c r="AF605" s="643">
        <f t="shared" si="180"/>
        <v>1037.9000000000001</v>
      </c>
      <c r="AG605" s="143"/>
      <c r="AH605" s="14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66" t="s">
        <v>295</v>
      </c>
      <c r="Y606" s="452" t="s">
        <v>26</v>
      </c>
      <c r="Z606" s="453">
        <v>10</v>
      </c>
      <c r="AA606" s="453" t="s">
        <v>29</v>
      </c>
      <c r="AB606" s="542" t="s">
        <v>463</v>
      </c>
      <c r="AC606" s="450"/>
      <c r="AD606" s="669">
        <f t="shared" si="180"/>
        <v>1037.9000000000001</v>
      </c>
      <c r="AE606" s="633">
        <f t="shared" si="180"/>
        <v>1037.9000000000001</v>
      </c>
      <c r="AF606" s="643">
        <f t="shared" si="180"/>
        <v>1037.9000000000001</v>
      </c>
      <c r="AG606" s="143"/>
      <c r="AH606" s="14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97</v>
      </c>
      <c r="Y607" s="452" t="s">
        <v>26</v>
      </c>
      <c r="Z607" s="453">
        <v>10</v>
      </c>
      <c r="AA607" s="453" t="s">
        <v>29</v>
      </c>
      <c r="AB607" s="542" t="s">
        <v>463</v>
      </c>
      <c r="AC607" s="454">
        <v>300</v>
      </c>
      <c r="AD607" s="669">
        <f t="shared" si="180"/>
        <v>1037.9000000000001</v>
      </c>
      <c r="AE607" s="633">
        <f t="shared" si="180"/>
        <v>1037.9000000000001</v>
      </c>
      <c r="AF607" s="643">
        <f t="shared" si="180"/>
        <v>1037.9000000000001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51" t="s">
        <v>40</v>
      </c>
      <c r="Y608" s="452" t="s">
        <v>26</v>
      </c>
      <c r="Z608" s="453">
        <v>10</v>
      </c>
      <c r="AA608" s="453" t="s">
        <v>29</v>
      </c>
      <c r="AB608" s="542" t="s">
        <v>463</v>
      </c>
      <c r="AC608" s="454">
        <v>320</v>
      </c>
      <c r="AD608" s="669">
        <v>1037.9000000000001</v>
      </c>
      <c r="AE608" s="633">
        <v>1037.9000000000001</v>
      </c>
      <c r="AF608" s="643">
        <v>1037.9000000000001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650" t="s">
        <v>411</v>
      </c>
      <c r="Y609" s="448" t="s">
        <v>59</v>
      </c>
      <c r="Z609" s="477"/>
      <c r="AA609" s="477"/>
      <c r="AB609" s="541"/>
      <c r="AC609" s="482"/>
      <c r="AD609" s="668">
        <f>AD610+AD649+AD641</f>
        <v>159145.60000000001</v>
      </c>
      <c r="AE609" s="632">
        <f>AE610+AE649</f>
        <v>28171.9</v>
      </c>
      <c r="AF609" s="642">
        <f>AF610+AF649</f>
        <v>27671.9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650" t="s">
        <v>25</v>
      </c>
      <c r="Y610" s="448" t="s">
        <v>59</v>
      </c>
      <c r="Z610" s="449" t="s">
        <v>29</v>
      </c>
      <c r="AA610" s="540"/>
      <c r="AB610" s="539"/>
      <c r="AC610" s="476"/>
      <c r="AD610" s="668">
        <f>AD611</f>
        <v>45624.700000000012</v>
      </c>
      <c r="AE610" s="632">
        <f t="shared" ref="AD610:AF612" si="181">AE611</f>
        <v>27332</v>
      </c>
      <c r="AF610" s="642">
        <f t="shared" si="181"/>
        <v>26832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1" t="s">
        <v>14</v>
      </c>
      <c r="Y611" s="452" t="s">
        <v>59</v>
      </c>
      <c r="Z611" s="453" t="s">
        <v>29</v>
      </c>
      <c r="AA611" s="453">
        <v>13</v>
      </c>
      <c r="AB611" s="541"/>
      <c r="AC611" s="482"/>
      <c r="AD611" s="669">
        <f>AD612+AD637</f>
        <v>45624.700000000012</v>
      </c>
      <c r="AE611" s="669">
        <f t="shared" ref="AE611:AF611" si="182">AE612+AE637</f>
        <v>27332</v>
      </c>
      <c r="AF611" s="669">
        <f t="shared" si="182"/>
        <v>26832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186</v>
      </c>
      <c r="Y612" s="452" t="s">
        <v>59</v>
      </c>
      <c r="Z612" s="453" t="s">
        <v>29</v>
      </c>
      <c r="AA612" s="453">
        <v>13</v>
      </c>
      <c r="AB612" s="542" t="s">
        <v>112</v>
      </c>
      <c r="AC612" s="454"/>
      <c r="AD612" s="669">
        <f t="shared" si="181"/>
        <v>45593.400000000009</v>
      </c>
      <c r="AE612" s="633">
        <f t="shared" si="181"/>
        <v>27332</v>
      </c>
      <c r="AF612" s="643">
        <f t="shared" si="181"/>
        <v>26832</v>
      </c>
      <c r="AG612" s="143"/>
      <c r="AH612" s="14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656" t="s">
        <v>529</v>
      </c>
      <c r="Y613" s="452" t="s">
        <v>59</v>
      </c>
      <c r="Z613" s="453" t="s">
        <v>29</v>
      </c>
      <c r="AA613" s="453">
        <v>13</v>
      </c>
      <c r="AB613" s="542" t="s">
        <v>113</v>
      </c>
      <c r="AC613" s="454"/>
      <c r="AD613" s="669">
        <f>AD614+AD620+AD626</f>
        <v>45593.400000000009</v>
      </c>
      <c r="AE613" s="633">
        <f>AE614+AE620+AE626</f>
        <v>27332</v>
      </c>
      <c r="AF613" s="643">
        <f>AF614+AF620+AF626</f>
        <v>26832</v>
      </c>
      <c r="AG613" s="143"/>
      <c r="AH613" s="143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66" t="s">
        <v>182</v>
      </c>
      <c r="Y614" s="452" t="s">
        <v>59</v>
      </c>
      <c r="Z614" s="453" t="s">
        <v>29</v>
      </c>
      <c r="AA614" s="453">
        <v>13</v>
      </c>
      <c r="AB614" s="542" t="s">
        <v>183</v>
      </c>
      <c r="AC614" s="454"/>
      <c r="AD614" s="669">
        <f t="shared" ref="AD614:AF616" si="183">AD615</f>
        <v>16764.7</v>
      </c>
      <c r="AE614" s="633">
        <f t="shared" si="183"/>
        <v>500</v>
      </c>
      <c r="AF614" s="643">
        <f t="shared" si="183"/>
        <v>0</v>
      </c>
      <c r="AG614" s="143"/>
      <c r="AH614" s="143"/>
    </row>
    <row r="615" spans="1:34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65" t="s">
        <v>771</v>
      </c>
      <c r="Y615" s="452" t="s">
        <v>59</v>
      </c>
      <c r="Z615" s="453" t="s">
        <v>29</v>
      </c>
      <c r="AA615" s="453">
        <v>13</v>
      </c>
      <c r="AB615" s="542" t="s">
        <v>185</v>
      </c>
      <c r="AC615" s="482"/>
      <c r="AD615" s="669">
        <f>AD616+AD618</f>
        <v>16764.7</v>
      </c>
      <c r="AE615" s="669">
        <f t="shared" ref="AE615:AF615" si="184">AE616+AE618</f>
        <v>500</v>
      </c>
      <c r="AF615" s="669">
        <f t="shared" si="184"/>
        <v>0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120</v>
      </c>
      <c r="Y616" s="452" t="s">
        <v>59</v>
      </c>
      <c r="Z616" s="453" t="s">
        <v>29</v>
      </c>
      <c r="AA616" s="453">
        <v>13</v>
      </c>
      <c r="AB616" s="542" t="s">
        <v>185</v>
      </c>
      <c r="AC616" s="454">
        <v>200</v>
      </c>
      <c r="AD616" s="669">
        <f t="shared" si="183"/>
        <v>14152.5</v>
      </c>
      <c r="AE616" s="633">
        <f t="shared" si="183"/>
        <v>500</v>
      </c>
      <c r="AF616" s="643">
        <f t="shared" si="183"/>
        <v>0</v>
      </c>
      <c r="AG616" s="143"/>
      <c r="AH616" s="14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1" t="s">
        <v>52</v>
      </c>
      <c r="Y617" s="452" t="s">
        <v>59</v>
      </c>
      <c r="Z617" s="453" t="s">
        <v>29</v>
      </c>
      <c r="AA617" s="453">
        <v>13</v>
      </c>
      <c r="AB617" s="542" t="s">
        <v>185</v>
      </c>
      <c r="AC617" s="454">
        <v>240</v>
      </c>
      <c r="AD617" s="669">
        <f>1714.9+14000-579.9-1206.6+224.1</f>
        <v>14152.5</v>
      </c>
      <c r="AE617" s="633">
        <v>500</v>
      </c>
      <c r="AF617" s="643">
        <v>0</v>
      </c>
      <c r="AG617" s="143"/>
      <c r="AH617" s="14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51" t="s">
        <v>42</v>
      </c>
      <c r="Y618" s="452" t="s">
        <v>59</v>
      </c>
      <c r="Z618" s="469" t="s">
        <v>29</v>
      </c>
      <c r="AA618" s="470">
        <v>13</v>
      </c>
      <c r="AB618" s="542" t="s">
        <v>185</v>
      </c>
      <c r="AC618" s="698">
        <v>800</v>
      </c>
      <c r="AD618" s="669">
        <f>AD619</f>
        <v>2612.1999999999998</v>
      </c>
      <c r="AE618" s="669">
        <f t="shared" ref="AE618:AF618" si="185">AE619</f>
        <v>0</v>
      </c>
      <c r="AF618" s="669">
        <f t="shared" si="185"/>
        <v>0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51" t="s">
        <v>57</v>
      </c>
      <c r="Y619" s="452" t="s">
        <v>59</v>
      </c>
      <c r="Z619" s="469" t="s">
        <v>29</v>
      </c>
      <c r="AA619" s="470">
        <v>13</v>
      </c>
      <c r="AB619" s="542" t="s">
        <v>185</v>
      </c>
      <c r="AC619" s="698">
        <v>850</v>
      </c>
      <c r="AD619" s="669">
        <f>579.9+1206.6+825.7</f>
        <v>2612.1999999999998</v>
      </c>
      <c r="AE619" s="669">
        <v>0</v>
      </c>
      <c r="AF619" s="669">
        <v>0</v>
      </c>
      <c r="AG619" s="143"/>
      <c r="AH619" s="143"/>
    </row>
    <row r="620" spans="1:34" ht="47.2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66" t="s">
        <v>719</v>
      </c>
      <c r="Y620" s="452" t="s">
        <v>59</v>
      </c>
      <c r="Z620" s="453" t="s">
        <v>29</v>
      </c>
      <c r="AA620" s="453">
        <v>13</v>
      </c>
      <c r="AB620" s="542" t="s">
        <v>187</v>
      </c>
      <c r="AC620" s="470"/>
      <c r="AD620" s="669">
        <f>AD621</f>
        <v>1314.4</v>
      </c>
      <c r="AE620" s="633">
        <f>AE621</f>
        <v>1314.4</v>
      </c>
      <c r="AF620" s="643">
        <f>AF621</f>
        <v>1314.4</v>
      </c>
      <c r="AG620" s="143"/>
      <c r="AH620" s="143"/>
    </row>
    <row r="621" spans="1:34" ht="47.2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66" t="s">
        <v>610</v>
      </c>
      <c r="Y621" s="452" t="s">
        <v>59</v>
      </c>
      <c r="Z621" s="453" t="s">
        <v>29</v>
      </c>
      <c r="AA621" s="453">
        <v>13</v>
      </c>
      <c r="AB621" s="542" t="s">
        <v>609</v>
      </c>
      <c r="AC621" s="470"/>
      <c r="AD621" s="669">
        <f>AD622+AD624</f>
        <v>1314.4</v>
      </c>
      <c r="AE621" s="633">
        <f>AE622+AE624</f>
        <v>1314.4</v>
      </c>
      <c r="AF621" s="643">
        <f>AF622+AF624</f>
        <v>1314.4</v>
      </c>
      <c r="AG621" s="143"/>
      <c r="AH621" s="143"/>
    </row>
    <row r="622" spans="1:34" ht="47.2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41</v>
      </c>
      <c r="Y622" s="452" t="s">
        <v>59</v>
      </c>
      <c r="Z622" s="453" t="s">
        <v>29</v>
      </c>
      <c r="AA622" s="453">
        <v>13</v>
      </c>
      <c r="AB622" s="542" t="s">
        <v>609</v>
      </c>
      <c r="AC622" s="470">
        <v>100</v>
      </c>
      <c r="AD622" s="669">
        <f>AD623</f>
        <v>1232</v>
      </c>
      <c r="AE622" s="633">
        <f>AE623</f>
        <v>1298.7</v>
      </c>
      <c r="AF622" s="643">
        <f>AF623</f>
        <v>1298.7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1" t="s">
        <v>96</v>
      </c>
      <c r="Y623" s="467" t="s">
        <v>59</v>
      </c>
      <c r="Z623" s="453" t="s">
        <v>29</v>
      </c>
      <c r="AA623" s="453">
        <v>13</v>
      </c>
      <c r="AB623" s="542" t="s">
        <v>609</v>
      </c>
      <c r="AC623" s="470">
        <v>120</v>
      </c>
      <c r="AD623" s="669">
        <f>1298.7-66.7</f>
        <v>1232</v>
      </c>
      <c r="AE623" s="633">
        <v>1298.7</v>
      </c>
      <c r="AF623" s="643">
        <v>1298.7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1" t="s">
        <v>120</v>
      </c>
      <c r="Y624" s="467" t="s">
        <v>59</v>
      </c>
      <c r="Z624" s="453" t="s">
        <v>29</v>
      </c>
      <c r="AA624" s="453">
        <v>13</v>
      </c>
      <c r="AB624" s="542" t="s">
        <v>609</v>
      </c>
      <c r="AC624" s="470">
        <v>200</v>
      </c>
      <c r="AD624" s="669">
        <f>AD625</f>
        <v>82.4</v>
      </c>
      <c r="AE624" s="633">
        <f>AE625</f>
        <v>15.7</v>
      </c>
      <c r="AF624" s="643">
        <f>AF625</f>
        <v>15.7</v>
      </c>
      <c r="AG624" s="143"/>
      <c r="AH624" s="143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651" t="s">
        <v>52</v>
      </c>
      <c r="Y625" s="467" t="s">
        <v>59</v>
      </c>
      <c r="Z625" s="453" t="s">
        <v>29</v>
      </c>
      <c r="AA625" s="453">
        <v>13</v>
      </c>
      <c r="AB625" s="542" t="s">
        <v>609</v>
      </c>
      <c r="AC625" s="470">
        <v>240</v>
      </c>
      <c r="AD625" s="669">
        <f>15.7+66.7</f>
        <v>82.4</v>
      </c>
      <c r="AE625" s="633">
        <v>15.7</v>
      </c>
      <c r="AF625" s="643">
        <v>15.7</v>
      </c>
      <c r="AG625" s="143"/>
      <c r="AH625" s="14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327</v>
      </c>
      <c r="Y626" s="452" t="s">
        <v>59</v>
      </c>
      <c r="Z626" s="453" t="s">
        <v>29</v>
      </c>
      <c r="AA626" s="453">
        <v>13</v>
      </c>
      <c r="AB626" s="542" t="s">
        <v>458</v>
      </c>
      <c r="AC626" s="454"/>
      <c r="AD626" s="669">
        <f>AD627</f>
        <v>27514.300000000003</v>
      </c>
      <c r="AE626" s="633">
        <f>AE627</f>
        <v>25517.599999999999</v>
      </c>
      <c r="AF626" s="643">
        <f>AF627</f>
        <v>25517.599999999999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330</v>
      </c>
      <c r="Y627" s="452" t="s">
        <v>59</v>
      </c>
      <c r="Z627" s="453" t="s">
        <v>29</v>
      </c>
      <c r="AA627" s="453">
        <v>13</v>
      </c>
      <c r="AB627" s="542" t="s">
        <v>459</v>
      </c>
      <c r="AC627" s="454"/>
      <c r="AD627" s="669">
        <f>AD628+AD631+AD634</f>
        <v>27514.300000000003</v>
      </c>
      <c r="AE627" s="633">
        <f>AE628+AE631+AE634</f>
        <v>25517.599999999999</v>
      </c>
      <c r="AF627" s="643">
        <f>AF628+AF631+AF634</f>
        <v>25517.599999999999</v>
      </c>
      <c r="AG627" s="143"/>
      <c r="AH627" s="143"/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206</v>
      </c>
      <c r="Y628" s="452" t="s">
        <v>59</v>
      </c>
      <c r="Z628" s="453" t="s">
        <v>29</v>
      </c>
      <c r="AA628" s="453">
        <v>13</v>
      </c>
      <c r="AB628" s="542" t="s">
        <v>460</v>
      </c>
      <c r="AC628" s="454"/>
      <c r="AD628" s="669">
        <f t="shared" ref="AD628:AF629" si="186">AD629</f>
        <v>3600.8</v>
      </c>
      <c r="AE628" s="633">
        <f t="shared" si="186"/>
        <v>1785.8</v>
      </c>
      <c r="AF628" s="643">
        <f t="shared" si="186"/>
        <v>1785.8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1" t="s">
        <v>120</v>
      </c>
      <c r="Y629" s="452" t="s">
        <v>59</v>
      </c>
      <c r="Z629" s="453" t="s">
        <v>29</v>
      </c>
      <c r="AA629" s="453">
        <v>13</v>
      </c>
      <c r="AB629" s="542" t="s">
        <v>460</v>
      </c>
      <c r="AC629" s="454">
        <v>200</v>
      </c>
      <c r="AD629" s="669">
        <f t="shared" si="186"/>
        <v>3600.8</v>
      </c>
      <c r="AE629" s="633">
        <f t="shared" si="186"/>
        <v>1785.8</v>
      </c>
      <c r="AF629" s="643">
        <f t="shared" si="186"/>
        <v>1785.8</v>
      </c>
      <c r="AG629" s="143"/>
      <c r="AH629" s="14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52</v>
      </c>
      <c r="Y630" s="452" t="s">
        <v>59</v>
      </c>
      <c r="Z630" s="453" t="s">
        <v>29</v>
      </c>
      <c r="AA630" s="453">
        <v>13</v>
      </c>
      <c r="AB630" s="542" t="s">
        <v>460</v>
      </c>
      <c r="AC630" s="454">
        <v>240</v>
      </c>
      <c r="AD630" s="669">
        <f>1785.8-31.3+31.3+1815</f>
        <v>3600.8</v>
      </c>
      <c r="AE630" s="633">
        <v>1785.8</v>
      </c>
      <c r="AF630" s="643">
        <v>1785.8</v>
      </c>
      <c r="AG630" s="143"/>
      <c r="AH630" s="143"/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207</v>
      </c>
      <c r="Y631" s="452" t="s">
        <v>59</v>
      </c>
      <c r="Z631" s="453" t="s">
        <v>29</v>
      </c>
      <c r="AA631" s="453">
        <v>13</v>
      </c>
      <c r="AB631" s="541" t="str">
        <f>AB632</f>
        <v>12 1 04 00132</v>
      </c>
      <c r="AC631" s="454"/>
      <c r="AD631" s="669">
        <f>AD633</f>
        <v>8234.4</v>
      </c>
      <c r="AE631" s="633">
        <f>AE633</f>
        <v>8211.2999999999993</v>
      </c>
      <c r="AF631" s="643">
        <f>AF633</f>
        <v>8211.2999999999993</v>
      </c>
      <c r="AG631" s="143"/>
      <c r="AH631" s="143"/>
    </row>
    <row r="632" spans="1:34" ht="47.2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51" t="s">
        <v>41</v>
      </c>
      <c r="Y632" s="452" t="s">
        <v>59</v>
      </c>
      <c r="Z632" s="453" t="s">
        <v>29</v>
      </c>
      <c r="AA632" s="453">
        <v>13</v>
      </c>
      <c r="AB632" s="541" t="str">
        <f>AB633</f>
        <v>12 1 04 00132</v>
      </c>
      <c r="AC632" s="454">
        <v>100</v>
      </c>
      <c r="AD632" s="669">
        <f>AD633</f>
        <v>8234.4</v>
      </c>
      <c r="AE632" s="633">
        <f>AE633</f>
        <v>8211.2999999999993</v>
      </c>
      <c r="AF632" s="643">
        <f>AF633</f>
        <v>8211.2999999999993</v>
      </c>
      <c r="AG632" s="143"/>
      <c r="AH632" s="143"/>
    </row>
    <row r="633" spans="1:34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96</v>
      </c>
      <c r="Y633" s="452" t="s">
        <v>59</v>
      </c>
      <c r="Z633" s="453" t="s">
        <v>29</v>
      </c>
      <c r="AA633" s="453">
        <v>13</v>
      </c>
      <c r="AB633" s="542" t="s">
        <v>461</v>
      </c>
      <c r="AC633" s="454">
        <v>120</v>
      </c>
      <c r="AD633" s="669">
        <f>8211.3+23.1</f>
        <v>8234.4</v>
      </c>
      <c r="AE633" s="633">
        <v>8211.2999999999993</v>
      </c>
      <c r="AF633" s="643">
        <v>8211.2999999999993</v>
      </c>
      <c r="AG633" s="143"/>
      <c r="AH633" s="143"/>
    </row>
    <row r="634" spans="1:34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1" t="s">
        <v>208</v>
      </c>
      <c r="Y634" s="452" t="s">
        <v>59</v>
      </c>
      <c r="Z634" s="453" t="s">
        <v>29</v>
      </c>
      <c r="AA634" s="453">
        <v>13</v>
      </c>
      <c r="AB634" s="541" t="str">
        <f>AB635</f>
        <v>12 1 04 00133</v>
      </c>
      <c r="AC634" s="454"/>
      <c r="AD634" s="669">
        <f>AD636</f>
        <v>15679.1</v>
      </c>
      <c r="AE634" s="633">
        <f>AE636</f>
        <v>15520.5</v>
      </c>
      <c r="AF634" s="643">
        <f>AF636</f>
        <v>15520.5</v>
      </c>
      <c r="AG634" s="143"/>
      <c r="AH634" s="143"/>
    </row>
    <row r="635" spans="1:34" ht="47.2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1" t="s">
        <v>41</v>
      </c>
      <c r="Y635" s="452" t="s">
        <v>59</v>
      </c>
      <c r="Z635" s="453" t="s">
        <v>29</v>
      </c>
      <c r="AA635" s="453">
        <v>13</v>
      </c>
      <c r="AB635" s="541" t="str">
        <f>AB636</f>
        <v>12 1 04 00133</v>
      </c>
      <c r="AC635" s="454">
        <v>100</v>
      </c>
      <c r="AD635" s="669">
        <f>AD636</f>
        <v>15679.1</v>
      </c>
      <c r="AE635" s="633">
        <f>AE636</f>
        <v>15520.5</v>
      </c>
      <c r="AF635" s="643">
        <f>AF636</f>
        <v>15520.5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1" t="s">
        <v>96</v>
      </c>
      <c r="Y636" s="452" t="s">
        <v>59</v>
      </c>
      <c r="Z636" s="453" t="s">
        <v>29</v>
      </c>
      <c r="AA636" s="453">
        <v>13</v>
      </c>
      <c r="AB636" s="542" t="s">
        <v>462</v>
      </c>
      <c r="AC636" s="454">
        <v>120</v>
      </c>
      <c r="AD636" s="669">
        <f>15520.5+158.6</f>
        <v>15679.1</v>
      </c>
      <c r="AE636" s="633">
        <v>15520.5</v>
      </c>
      <c r="AF636" s="643">
        <v>15520.5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273" t="s">
        <v>332</v>
      </c>
      <c r="Y637" s="452" t="s">
        <v>59</v>
      </c>
      <c r="Z637" s="453" t="s">
        <v>29</v>
      </c>
      <c r="AA637" s="453">
        <v>13</v>
      </c>
      <c r="AB637" s="26" t="s">
        <v>137</v>
      </c>
      <c r="AC637" s="454"/>
      <c r="AD637" s="669">
        <f>AD638</f>
        <v>31.3</v>
      </c>
      <c r="AE637" s="669">
        <f t="shared" ref="AE637:AF639" si="187">AE638</f>
        <v>0</v>
      </c>
      <c r="AF637" s="669">
        <f t="shared" si="187"/>
        <v>0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51" t="s">
        <v>793</v>
      </c>
      <c r="Y638" s="452" t="s">
        <v>59</v>
      </c>
      <c r="Z638" s="453" t="s">
        <v>29</v>
      </c>
      <c r="AA638" s="453">
        <v>13</v>
      </c>
      <c r="AB638" s="542" t="s">
        <v>794</v>
      </c>
      <c r="AC638" s="454"/>
      <c r="AD638" s="669">
        <f>AD639</f>
        <v>31.3</v>
      </c>
      <c r="AE638" s="669">
        <f t="shared" si="187"/>
        <v>0</v>
      </c>
      <c r="AF638" s="669">
        <f t="shared" si="187"/>
        <v>0</v>
      </c>
      <c r="AG638" s="143"/>
      <c r="AH638" s="14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42</v>
      </c>
      <c r="Y639" s="452" t="s">
        <v>59</v>
      </c>
      <c r="Z639" s="453" t="s">
        <v>29</v>
      </c>
      <c r="AA639" s="453">
        <v>13</v>
      </c>
      <c r="AB639" s="542" t="s">
        <v>794</v>
      </c>
      <c r="AC639" s="454">
        <v>800</v>
      </c>
      <c r="AD639" s="669">
        <f>AD640</f>
        <v>31.3</v>
      </c>
      <c r="AE639" s="669">
        <f t="shared" si="187"/>
        <v>0</v>
      </c>
      <c r="AF639" s="669">
        <f t="shared" si="187"/>
        <v>0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795</v>
      </c>
      <c r="Y640" s="452" t="s">
        <v>59</v>
      </c>
      <c r="Z640" s="453" t="s">
        <v>29</v>
      </c>
      <c r="AA640" s="453">
        <v>13</v>
      </c>
      <c r="AB640" s="542" t="s">
        <v>794</v>
      </c>
      <c r="AC640" s="454">
        <v>830</v>
      </c>
      <c r="AD640" s="669">
        <v>31.3</v>
      </c>
      <c r="AE640" s="633">
        <v>0</v>
      </c>
      <c r="AF640" s="643">
        <v>0</v>
      </c>
      <c r="AG640" s="143"/>
      <c r="AH640" s="14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650" t="s">
        <v>3</v>
      </c>
      <c r="Y641" s="452" t="s">
        <v>59</v>
      </c>
      <c r="Z641" s="474" t="s">
        <v>5</v>
      </c>
      <c r="AA641" s="453"/>
      <c r="AB641" s="542"/>
      <c r="AC641" s="454"/>
      <c r="AD641" s="669">
        <f t="shared" ref="AD641:AD647" si="188">AD642</f>
        <v>98000</v>
      </c>
      <c r="AE641" s="669">
        <f t="shared" ref="AE641:AF641" si="189">AE642</f>
        <v>0</v>
      </c>
      <c r="AF641" s="669">
        <f t="shared" si="189"/>
        <v>0</v>
      </c>
      <c r="AG641" s="143"/>
      <c r="AH641" s="14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323</v>
      </c>
      <c r="Y642" s="452" t="s">
        <v>59</v>
      </c>
      <c r="Z642" s="453" t="s">
        <v>5</v>
      </c>
      <c r="AA642" s="453" t="s">
        <v>30</v>
      </c>
      <c r="AB642" s="542"/>
      <c r="AC642" s="454"/>
      <c r="AD642" s="669">
        <f t="shared" si="188"/>
        <v>98000</v>
      </c>
      <c r="AE642" s="669">
        <f t="shared" ref="AE642:AF642" si="190">AE643</f>
        <v>0</v>
      </c>
      <c r="AF642" s="669">
        <f t="shared" si="190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7" t="s">
        <v>186</v>
      </c>
      <c r="Y643" s="452" t="s">
        <v>59</v>
      </c>
      <c r="Z643" s="453" t="s">
        <v>5</v>
      </c>
      <c r="AA643" s="453" t="s">
        <v>30</v>
      </c>
      <c r="AB643" s="542" t="s">
        <v>112</v>
      </c>
      <c r="AC643" s="454"/>
      <c r="AD643" s="669">
        <f t="shared" si="188"/>
        <v>98000</v>
      </c>
      <c r="AE643" s="669">
        <f t="shared" ref="AE643:AF643" si="191">AE644</f>
        <v>0</v>
      </c>
      <c r="AF643" s="669">
        <f t="shared" si="191"/>
        <v>0</v>
      </c>
      <c r="AG643" s="143"/>
      <c r="AH643" s="14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51" t="s">
        <v>48</v>
      </c>
      <c r="Y644" s="452" t="s">
        <v>59</v>
      </c>
      <c r="Z644" s="453" t="s">
        <v>5</v>
      </c>
      <c r="AA644" s="453" t="s">
        <v>30</v>
      </c>
      <c r="AB644" s="542" t="s">
        <v>190</v>
      </c>
      <c r="AC644" s="454"/>
      <c r="AD644" s="669">
        <f t="shared" si="188"/>
        <v>98000</v>
      </c>
      <c r="AE644" s="669">
        <f t="shared" ref="AE644:AF644" si="192">AE645</f>
        <v>0</v>
      </c>
      <c r="AF644" s="669">
        <f t="shared" si="192"/>
        <v>0</v>
      </c>
      <c r="AG644" s="143"/>
      <c r="AH644" s="143"/>
    </row>
    <row r="645" spans="1:34" ht="31.5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51" t="s">
        <v>327</v>
      </c>
      <c r="Y645" s="452" t="s">
        <v>59</v>
      </c>
      <c r="Z645" s="453" t="s">
        <v>5</v>
      </c>
      <c r="AA645" s="453" t="s">
        <v>30</v>
      </c>
      <c r="AB645" s="542" t="s">
        <v>192</v>
      </c>
      <c r="AC645" s="454"/>
      <c r="AD645" s="669">
        <f t="shared" si="188"/>
        <v>98000</v>
      </c>
      <c r="AE645" s="669">
        <f t="shared" ref="AE645:AF645" si="193">AE646</f>
        <v>0</v>
      </c>
      <c r="AF645" s="669">
        <f t="shared" si="193"/>
        <v>0</v>
      </c>
      <c r="AG645" s="143"/>
      <c r="AH645" s="14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51" t="s">
        <v>818</v>
      </c>
      <c r="Y646" s="452" t="s">
        <v>59</v>
      </c>
      <c r="Z646" s="453" t="s">
        <v>5</v>
      </c>
      <c r="AA646" s="453" t="s">
        <v>30</v>
      </c>
      <c r="AB646" s="542" t="s">
        <v>819</v>
      </c>
      <c r="AC646" s="454"/>
      <c r="AD646" s="669">
        <f t="shared" si="188"/>
        <v>98000</v>
      </c>
      <c r="AE646" s="669">
        <f t="shared" ref="AE646:AF646" si="194">AE647</f>
        <v>0</v>
      </c>
      <c r="AF646" s="669">
        <f t="shared" si="194"/>
        <v>0</v>
      </c>
      <c r="AG646" s="143"/>
      <c r="AH646" s="143"/>
    </row>
    <row r="647" spans="1:34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51" t="s">
        <v>42</v>
      </c>
      <c r="Y647" s="452" t="s">
        <v>59</v>
      </c>
      <c r="Z647" s="453" t="s">
        <v>5</v>
      </c>
      <c r="AA647" s="453" t="s">
        <v>30</v>
      </c>
      <c r="AB647" s="542" t="s">
        <v>819</v>
      </c>
      <c r="AC647" s="454">
        <v>800</v>
      </c>
      <c r="AD647" s="669">
        <f t="shared" si="188"/>
        <v>98000</v>
      </c>
      <c r="AE647" s="669">
        <f t="shared" ref="AE647:AF647" si="195">AE648</f>
        <v>0</v>
      </c>
      <c r="AF647" s="669">
        <f t="shared" si="195"/>
        <v>0</v>
      </c>
      <c r="AG647" s="143"/>
      <c r="AH647" s="143"/>
    </row>
    <row r="648" spans="1:34" ht="37.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51" t="s">
        <v>121</v>
      </c>
      <c r="Y648" s="452" t="s">
        <v>59</v>
      </c>
      <c r="Z648" s="453" t="s">
        <v>5</v>
      </c>
      <c r="AA648" s="453" t="s">
        <v>30</v>
      </c>
      <c r="AB648" s="542" t="s">
        <v>819</v>
      </c>
      <c r="AC648" s="454">
        <v>810</v>
      </c>
      <c r="AD648" s="669">
        <f>30000+68000</f>
        <v>98000</v>
      </c>
      <c r="AE648" s="633">
        <v>0</v>
      </c>
      <c r="AF648" s="643">
        <v>0</v>
      </c>
      <c r="AG648" s="143"/>
      <c r="AH648" s="143"/>
    </row>
    <row r="649" spans="1:34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650" t="s">
        <v>94</v>
      </c>
      <c r="Y649" s="448" t="s">
        <v>59</v>
      </c>
      <c r="Z649" s="471" t="s">
        <v>36</v>
      </c>
      <c r="AA649" s="540"/>
      <c r="AB649" s="539"/>
      <c r="AC649" s="476"/>
      <c r="AD649" s="668">
        <f>AD650+AD657</f>
        <v>15520.9</v>
      </c>
      <c r="AE649" s="632">
        <f>AE650+AE657</f>
        <v>839.9</v>
      </c>
      <c r="AF649" s="642">
        <f>AF650+AF657</f>
        <v>839.9</v>
      </c>
      <c r="AG649" s="143"/>
      <c r="AH649" s="14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451" t="s">
        <v>55</v>
      </c>
      <c r="Y650" s="452" t="s">
        <v>59</v>
      </c>
      <c r="Z650" s="453">
        <v>10</v>
      </c>
      <c r="AA650" s="453" t="s">
        <v>29</v>
      </c>
      <c r="AB650" s="541"/>
      <c r="AC650" s="450"/>
      <c r="AD650" s="669">
        <f t="shared" ref="AD650:AF655" si="196">AD651</f>
        <v>839.9</v>
      </c>
      <c r="AE650" s="633">
        <f t="shared" si="196"/>
        <v>839.9</v>
      </c>
      <c r="AF650" s="643">
        <f t="shared" si="196"/>
        <v>839.9</v>
      </c>
      <c r="AG650" s="143"/>
      <c r="AH650" s="14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457" t="s">
        <v>292</v>
      </c>
      <c r="Y651" s="452" t="s">
        <v>59</v>
      </c>
      <c r="Z651" s="453">
        <v>10</v>
      </c>
      <c r="AA651" s="453" t="s">
        <v>29</v>
      </c>
      <c r="AB651" s="542" t="s">
        <v>109</v>
      </c>
      <c r="AC651" s="450"/>
      <c r="AD651" s="669">
        <f t="shared" si="196"/>
        <v>839.9</v>
      </c>
      <c r="AE651" s="633">
        <f t="shared" si="196"/>
        <v>839.9</v>
      </c>
      <c r="AF651" s="643">
        <f t="shared" si="196"/>
        <v>839.9</v>
      </c>
      <c r="AG651" s="143"/>
      <c r="AH651" s="14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57" t="s">
        <v>293</v>
      </c>
      <c r="Y652" s="452" t="s">
        <v>59</v>
      </c>
      <c r="Z652" s="453">
        <v>10</v>
      </c>
      <c r="AA652" s="453" t="s">
        <v>29</v>
      </c>
      <c r="AB652" s="542" t="s">
        <v>118</v>
      </c>
      <c r="AC652" s="450"/>
      <c r="AD652" s="669">
        <f t="shared" si="196"/>
        <v>839.9</v>
      </c>
      <c r="AE652" s="633">
        <f t="shared" si="196"/>
        <v>839.9</v>
      </c>
      <c r="AF652" s="643">
        <f t="shared" si="196"/>
        <v>839.9</v>
      </c>
      <c r="AG652" s="143"/>
      <c r="AH652" s="14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7" t="s">
        <v>465</v>
      </c>
      <c r="Y653" s="452" t="s">
        <v>59</v>
      </c>
      <c r="Z653" s="453">
        <v>10</v>
      </c>
      <c r="AA653" s="453" t="s">
        <v>29</v>
      </c>
      <c r="AB653" s="542" t="s">
        <v>464</v>
      </c>
      <c r="AC653" s="450"/>
      <c r="AD653" s="669">
        <f t="shared" si="196"/>
        <v>839.9</v>
      </c>
      <c r="AE653" s="633">
        <f t="shared" si="196"/>
        <v>839.9</v>
      </c>
      <c r="AF653" s="643">
        <f t="shared" si="196"/>
        <v>839.9</v>
      </c>
      <c r="AG653" s="143"/>
      <c r="AH653" s="143"/>
    </row>
    <row r="654" spans="1:34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66" t="s">
        <v>295</v>
      </c>
      <c r="Y654" s="452" t="s">
        <v>59</v>
      </c>
      <c r="Z654" s="453">
        <v>10</v>
      </c>
      <c r="AA654" s="453" t="s">
        <v>29</v>
      </c>
      <c r="AB654" s="542" t="s">
        <v>463</v>
      </c>
      <c r="AC654" s="450"/>
      <c r="AD654" s="669">
        <f t="shared" si="196"/>
        <v>839.9</v>
      </c>
      <c r="AE654" s="633">
        <f t="shared" si="196"/>
        <v>839.9</v>
      </c>
      <c r="AF654" s="643">
        <f t="shared" si="196"/>
        <v>839.9</v>
      </c>
      <c r="AG654" s="143"/>
      <c r="AH654" s="143"/>
    </row>
    <row r="655" spans="1:34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1" t="s">
        <v>97</v>
      </c>
      <c r="Y655" s="452" t="s">
        <v>59</v>
      </c>
      <c r="Z655" s="453">
        <v>10</v>
      </c>
      <c r="AA655" s="453" t="s">
        <v>29</v>
      </c>
      <c r="AB655" s="542" t="s">
        <v>463</v>
      </c>
      <c r="AC655" s="454">
        <v>300</v>
      </c>
      <c r="AD655" s="669">
        <f t="shared" si="196"/>
        <v>839.9</v>
      </c>
      <c r="AE655" s="633">
        <f t="shared" si="196"/>
        <v>839.9</v>
      </c>
      <c r="AF655" s="643">
        <f t="shared" si="196"/>
        <v>839.9</v>
      </c>
      <c r="AG655" s="143"/>
      <c r="AH655" s="14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51" t="s">
        <v>40</v>
      </c>
      <c r="Y656" s="452" t="s">
        <v>59</v>
      </c>
      <c r="Z656" s="453">
        <v>10</v>
      </c>
      <c r="AA656" s="453" t="s">
        <v>29</v>
      </c>
      <c r="AB656" s="542" t="s">
        <v>463</v>
      </c>
      <c r="AC656" s="454">
        <v>320</v>
      </c>
      <c r="AD656" s="669">
        <v>839.9</v>
      </c>
      <c r="AE656" s="633">
        <v>839.9</v>
      </c>
      <c r="AF656" s="643">
        <v>839.9</v>
      </c>
      <c r="AG656" s="143"/>
      <c r="AH656" s="143"/>
    </row>
    <row r="657" spans="1:34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31</v>
      </c>
      <c r="Y657" s="452" t="s">
        <v>59</v>
      </c>
      <c r="Z657" s="453">
        <v>10</v>
      </c>
      <c r="AA657" s="453" t="s">
        <v>49</v>
      </c>
      <c r="AB657" s="541"/>
      <c r="AC657" s="454"/>
      <c r="AD657" s="669">
        <f t="shared" ref="AD657:AF660" si="197">AD658</f>
        <v>14681</v>
      </c>
      <c r="AE657" s="633">
        <f t="shared" si="197"/>
        <v>0</v>
      </c>
      <c r="AF657" s="643">
        <f t="shared" si="197"/>
        <v>0</v>
      </c>
      <c r="AG657" s="143"/>
      <c r="AH657" s="143"/>
    </row>
    <row r="658" spans="1:34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57" t="s">
        <v>181</v>
      </c>
      <c r="Y658" s="452" t="s">
        <v>59</v>
      </c>
      <c r="Z658" s="453">
        <v>10</v>
      </c>
      <c r="AA658" s="453" t="s">
        <v>49</v>
      </c>
      <c r="AB658" s="541" t="s">
        <v>116</v>
      </c>
      <c r="AC658" s="454"/>
      <c r="AD658" s="669">
        <f t="shared" si="197"/>
        <v>14681</v>
      </c>
      <c r="AE658" s="633">
        <f t="shared" si="197"/>
        <v>0</v>
      </c>
      <c r="AF658" s="643">
        <f t="shared" si="197"/>
        <v>0</v>
      </c>
      <c r="AG658" s="143"/>
      <c r="AH658" s="143"/>
    </row>
    <row r="659" spans="1:34" ht="31.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652" t="s">
        <v>438</v>
      </c>
      <c r="Y659" s="452" t="s">
        <v>59</v>
      </c>
      <c r="Z659" s="453">
        <v>10</v>
      </c>
      <c r="AA659" s="453" t="s">
        <v>49</v>
      </c>
      <c r="AB659" s="542" t="s">
        <v>146</v>
      </c>
      <c r="AC659" s="454"/>
      <c r="AD659" s="669">
        <f t="shared" si="197"/>
        <v>14681</v>
      </c>
      <c r="AE659" s="633">
        <f t="shared" si="197"/>
        <v>0</v>
      </c>
      <c r="AF659" s="643">
        <f t="shared" si="197"/>
        <v>0</v>
      </c>
      <c r="AG659" s="143"/>
      <c r="AH659" s="143"/>
    </row>
    <row r="660" spans="1:34" ht="47.2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652" t="s">
        <v>439</v>
      </c>
      <c r="Y660" s="452" t="s">
        <v>59</v>
      </c>
      <c r="Z660" s="453">
        <v>10</v>
      </c>
      <c r="AA660" s="453" t="s">
        <v>49</v>
      </c>
      <c r="AB660" s="542" t="s">
        <v>145</v>
      </c>
      <c r="AC660" s="454"/>
      <c r="AD660" s="669">
        <f>AD661</f>
        <v>14681</v>
      </c>
      <c r="AE660" s="633">
        <f t="shared" si="197"/>
        <v>0</v>
      </c>
      <c r="AF660" s="643">
        <f t="shared" si="197"/>
        <v>0</v>
      </c>
      <c r="AG660" s="143"/>
      <c r="AH660" s="143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656" t="s">
        <v>616</v>
      </c>
      <c r="Y661" s="452" t="s">
        <v>59</v>
      </c>
      <c r="Z661" s="453">
        <v>10</v>
      </c>
      <c r="AA661" s="453" t="s">
        <v>49</v>
      </c>
      <c r="AB661" s="542" t="s">
        <v>144</v>
      </c>
      <c r="AC661" s="454"/>
      <c r="AD661" s="669">
        <f t="shared" ref="AD661:AF662" si="198">AD662</f>
        <v>14681</v>
      </c>
      <c r="AE661" s="633">
        <f t="shared" si="198"/>
        <v>0</v>
      </c>
      <c r="AF661" s="643">
        <f t="shared" si="198"/>
        <v>0</v>
      </c>
      <c r="AG661" s="143"/>
      <c r="AH661" s="143"/>
    </row>
    <row r="662" spans="1:34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665" t="s">
        <v>23</v>
      </c>
      <c r="Y662" s="452" t="s">
        <v>59</v>
      </c>
      <c r="Z662" s="453">
        <v>10</v>
      </c>
      <c r="AA662" s="453" t="s">
        <v>49</v>
      </c>
      <c r="AB662" s="548" t="s">
        <v>144</v>
      </c>
      <c r="AC662" s="454">
        <v>400</v>
      </c>
      <c r="AD662" s="669">
        <f t="shared" si="198"/>
        <v>14681</v>
      </c>
      <c r="AE662" s="633">
        <f t="shared" si="198"/>
        <v>0</v>
      </c>
      <c r="AF662" s="643">
        <f t="shared" si="198"/>
        <v>0</v>
      </c>
      <c r="AG662" s="143"/>
      <c r="AH662" s="14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51" t="s">
        <v>9</v>
      </c>
      <c r="Y663" s="452" t="s">
        <v>59</v>
      </c>
      <c r="Z663" s="453">
        <v>10</v>
      </c>
      <c r="AA663" s="453" t="s">
        <v>49</v>
      </c>
      <c r="AB663" s="548" t="s">
        <v>144</v>
      </c>
      <c r="AC663" s="454">
        <v>410</v>
      </c>
      <c r="AD663" s="669">
        <f>9887+4794</f>
        <v>14681</v>
      </c>
      <c r="AE663" s="633">
        <v>0</v>
      </c>
      <c r="AF663" s="643">
        <v>0</v>
      </c>
      <c r="AG663" s="143"/>
      <c r="AH663" s="143"/>
    </row>
    <row r="664" spans="1:34" ht="18.75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650" t="s">
        <v>412</v>
      </c>
      <c r="Y664" s="448" t="s">
        <v>413</v>
      </c>
      <c r="Z664" s="481"/>
      <c r="AA664" s="477"/>
      <c r="AB664" s="541"/>
      <c r="AC664" s="482"/>
      <c r="AD664" s="668">
        <f>AD665+AD673+AD838</f>
        <v>1510256.9</v>
      </c>
      <c r="AE664" s="632">
        <f>AE665+AE673+AE838</f>
        <v>1311935.6000000001</v>
      </c>
      <c r="AF664" s="642">
        <f>AF665+AF673+AF838</f>
        <v>1308625.9000000001</v>
      </c>
      <c r="AG664" s="143"/>
      <c r="AH664" s="14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650" t="s">
        <v>25</v>
      </c>
      <c r="Y665" s="448" t="s">
        <v>413</v>
      </c>
      <c r="Z665" s="449" t="s">
        <v>29</v>
      </c>
      <c r="AA665" s="471"/>
      <c r="AB665" s="541"/>
      <c r="AC665" s="482"/>
      <c r="AD665" s="669">
        <f t="shared" ref="AD665:AF671" si="199">AD666</f>
        <v>12605.7</v>
      </c>
      <c r="AE665" s="633">
        <f t="shared" si="199"/>
        <v>0</v>
      </c>
      <c r="AF665" s="643">
        <f t="shared" si="199"/>
        <v>0</v>
      </c>
      <c r="AG665" s="143"/>
      <c r="AH665" s="14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14</v>
      </c>
      <c r="Y666" s="452" t="s">
        <v>413</v>
      </c>
      <c r="Z666" s="474" t="s">
        <v>29</v>
      </c>
      <c r="AA666" s="474">
        <v>13</v>
      </c>
      <c r="AB666" s="542"/>
      <c r="AC666" s="482"/>
      <c r="AD666" s="669">
        <f t="shared" si="199"/>
        <v>12605.7</v>
      </c>
      <c r="AE666" s="633">
        <f t="shared" si="199"/>
        <v>0</v>
      </c>
      <c r="AF666" s="643">
        <f t="shared" si="199"/>
        <v>0</v>
      </c>
      <c r="AG666" s="143"/>
      <c r="AH666" s="14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7" t="s">
        <v>186</v>
      </c>
      <c r="Y667" s="452" t="s">
        <v>413</v>
      </c>
      <c r="Z667" s="474" t="s">
        <v>29</v>
      </c>
      <c r="AA667" s="474">
        <v>13</v>
      </c>
      <c r="AB667" s="542" t="s">
        <v>112</v>
      </c>
      <c r="AC667" s="482"/>
      <c r="AD667" s="669">
        <f t="shared" si="199"/>
        <v>12605.7</v>
      </c>
      <c r="AE667" s="633">
        <f t="shared" si="199"/>
        <v>0</v>
      </c>
      <c r="AF667" s="643">
        <f t="shared" si="199"/>
        <v>0</v>
      </c>
      <c r="AG667" s="143"/>
      <c r="AH667" s="14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7" t="s">
        <v>189</v>
      </c>
      <c r="Y668" s="452" t="s">
        <v>413</v>
      </c>
      <c r="Z668" s="474" t="s">
        <v>29</v>
      </c>
      <c r="AA668" s="474">
        <v>13</v>
      </c>
      <c r="AB668" s="542" t="s">
        <v>190</v>
      </c>
      <c r="AC668" s="482"/>
      <c r="AD668" s="669">
        <f t="shared" si="199"/>
        <v>12605.7</v>
      </c>
      <c r="AE668" s="633">
        <f t="shared" si="199"/>
        <v>0</v>
      </c>
      <c r="AF668" s="643">
        <f t="shared" si="199"/>
        <v>0</v>
      </c>
      <c r="AG668" s="143"/>
      <c r="AH668" s="143"/>
    </row>
    <row r="669" spans="1:34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7" t="s">
        <v>191</v>
      </c>
      <c r="Y669" s="452" t="s">
        <v>413</v>
      </c>
      <c r="Z669" s="474" t="s">
        <v>29</v>
      </c>
      <c r="AA669" s="474">
        <v>13</v>
      </c>
      <c r="AB669" s="542" t="s">
        <v>192</v>
      </c>
      <c r="AC669" s="482"/>
      <c r="AD669" s="669">
        <f>AD670</f>
        <v>12605.7</v>
      </c>
      <c r="AE669" s="633">
        <f>AE670</f>
        <v>0</v>
      </c>
      <c r="AF669" s="643">
        <f>AF670</f>
        <v>0</v>
      </c>
      <c r="AG669" s="143"/>
      <c r="AH669" s="143"/>
    </row>
    <row r="670" spans="1:34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65" t="s">
        <v>217</v>
      </c>
      <c r="Y670" s="452" t="s">
        <v>413</v>
      </c>
      <c r="Z670" s="474" t="s">
        <v>29</v>
      </c>
      <c r="AA670" s="474">
        <v>13</v>
      </c>
      <c r="AB670" s="544" t="s">
        <v>218</v>
      </c>
      <c r="AC670" s="482"/>
      <c r="AD670" s="669">
        <f t="shared" si="199"/>
        <v>12605.7</v>
      </c>
      <c r="AE670" s="633">
        <f t="shared" si="199"/>
        <v>0</v>
      </c>
      <c r="AF670" s="643">
        <f t="shared" si="199"/>
        <v>0</v>
      </c>
      <c r="AG670" s="143"/>
      <c r="AH670" s="14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413</v>
      </c>
      <c r="Z671" s="474" t="s">
        <v>29</v>
      </c>
      <c r="AA671" s="474">
        <v>13</v>
      </c>
      <c r="AB671" s="544" t="s">
        <v>218</v>
      </c>
      <c r="AC671" s="574">
        <v>600</v>
      </c>
      <c r="AD671" s="669">
        <f t="shared" si="199"/>
        <v>12605.7</v>
      </c>
      <c r="AE671" s="633">
        <f t="shared" si="199"/>
        <v>0</v>
      </c>
      <c r="AF671" s="643">
        <f t="shared" si="199"/>
        <v>0</v>
      </c>
      <c r="AG671" s="143"/>
      <c r="AH671" s="14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413</v>
      </c>
      <c r="Z672" s="474" t="s">
        <v>29</v>
      </c>
      <c r="AA672" s="474">
        <v>13</v>
      </c>
      <c r="AB672" s="544" t="s">
        <v>218</v>
      </c>
      <c r="AC672" s="574">
        <v>610</v>
      </c>
      <c r="AD672" s="669">
        <f>26390.2-13784.5</f>
        <v>12605.7</v>
      </c>
      <c r="AE672" s="633">
        <f>26390.2-26390.2</f>
        <v>0</v>
      </c>
      <c r="AF672" s="643">
        <f>26390.2-26390.2</f>
        <v>0</v>
      </c>
      <c r="AG672" s="143"/>
      <c r="AH672" s="143"/>
    </row>
    <row r="673" spans="1:3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50" t="s">
        <v>4</v>
      </c>
      <c r="Y673" s="448" t="s">
        <v>413</v>
      </c>
      <c r="Z673" s="471" t="s">
        <v>8</v>
      </c>
      <c r="AA673" s="540"/>
      <c r="AB673" s="539"/>
      <c r="AC673" s="476"/>
      <c r="AD673" s="668">
        <f>AD674+AD698+AD768+AD800+AD793</f>
        <v>1482299.3</v>
      </c>
      <c r="AE673" s="632">
        <f>AE674+AE698+AE768+AE800+AE793</f>
        <v>1296873.6000000001</v>
      </c>
      <c r="AF673" s="642">
        <f>AF674+AF698+AF768+AF800+AF793</f>
        <v>1293563.9000000001</v>
      </c>
      <c r="AG673" s="143"/>
      <c r="AH673" s="143"/>
    </row>
    <row r="674" spans="1:3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19</v>
      </c>
      <c r="Y674" s="452" t="s">
        <v>413</v>
      </c>
      <c r="Z674" s="477" t="s">
        <v>8</v>
      </c>
      <c r="AA674" s="453" t="s">
        <v>29</v>
      </c>
      <c r="AB674" s="541"/>
      <c r="AC674" s="454"/>
      <c r="AD674" s="669">
        <f>AD675</f>
        <v>474870.8</v>
      </c>
      <c r="AE674" s="633">
        <f t="shared" ref="AE674:AF674" si="200">AE675</f>
        <v>461823.3</v>
      </c>
      <c r="AF674" s="643">
        <f t="shared" si="200"/>
        <v>467723.5</v>
      </c>
      <c r="AG674" s="415"/>
      <c r="AH674" s="415"/>
      <c r="AI674" s="415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9" t="s">
        <v>262</v>
      </c>
      <c r="Y675" s="467" t="s">
        <v>413</v>
      </c>
      <c r="Z675" s="453" t="s">
        <v>8</v>
      </c>
      <c r="AA675" s="453" t="s">
        <v>29</v>
      </c>
      <c r="AB675" s="542" t="s">
        <v>100</v>
      </c>
      <c r="AC675" s="482"/>
      <c r="AD675" s="669">
        <f>AD676</f>
        <v>474870.8</v>
      </c>
      <c r="AE675" s="633">
        <f>AE676</f>
        <v>461823.3</v>
      </c>
      <c r="AF675" s="643">
        <f>AF676</f>
        <v>467723.5</v>
      </c>
      <c r="AG675" s="143"/>
      <c r="AH675" s="143"/>
    </row>
    <row r="676" spans="1:3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9" t="s">
        <v>265</v>
      </c>
      <c r="Y676" s="467" t="s">
        <v>413</v>
      </c>
      <c r="Z676" s="477" t="s">
        <v>8</v>
      </c>
      <c r="AA676" s="453" t="s">
        <v>29</v>
      </c>
      <c r="AB676" s="542" t="s">
        <v>117</v>
      </c>
      <c r="AC676" s="454"/>
      <c r="AD676" s="669">
        <f>AD677+AD694</f>
        <v>474870.8</v>
      </c>
      <c r="AE676" s="633">
        <f t="shared" ref="AE676:AF676" si="201">AE677</f>
        <v>461823.3</v>
      </c>
      <c r="AF676" s="643">
        <f t="shared" si="201"/>
        <v>467723.5</v>
      </c>
      <c r="AG676" s="143"/>
      <c r="AH676" s="143"/>
    </row>
    <row r="677" spans="1:35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9" t="s">
        <v>447</v>
      </c>
      <c r="Y677" s="452" t="s">
        <v>413</v>
      </c>
      <c r="Z677" s="469" t="s">
        <v>8</v>
      </c>
      <c r="AA677" s="469" t="s">
        <v>29</v>
      </c>
      <c r="AB677" s="542" t="s">
        <v>446</v>
      </c>
      <c r="AC677" s="482"/>
      <c r="AD677" s="669">
        <f>AD678+AD685+AD688+AD691</f>
        <v>472707.8</v>
      </c>
      <c r="AE677" s="669">
        <f t="shared" ref="AE677:AF677" si="202">AE678+AE685+AE688+AE691</f>
        <v>461823.3</v>
      </c>
      <c r="AF677" s="669">
        <f t="shared" si="202"/>
        <v>467723.5</v>
      </c>
      <c r="AG677" s="143"/>
      <c r="AH677" s="143"/>
    </row>
    <row r="678" spans="1:35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651" t="s">
        <v>264</v>
      </c>
      <c r="Y678" s="452" t="s">
        <v>413</v>
      </c>
      <c r="Z678" s="477" t="s">
        <v>8</v>
      </c>
      <c r="AA678" s="453" t="s">
        <v>29</v>
      </c>
      <c r="AB678" s="542" t="s">
        <v>449</v>
      </c>
      <c r="AC678" s="573"/>
      <c r="AD678" s="669">
        <f>AD679+AD682</f>
        <v>201452.79999999999</v>
      </c>
      <c r="AE678" s="633">
        <f>AE679</f>
        <v>188071.3</v>
      </c>
      <c r="AF678" s="643">
        <f>AF679</f>
        <v>193971.5</v>
      </c>
      <c r="AG678" s="143"/>
      <c r="AH678" s="143"/>
    </row>
    <row r="679" spans="1:35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651" t="s">
        <v>333</v>
      </c>
      <c r="Y679" s="452" t="s">
        <v>413</v>
      </c>
      <c r="Z679" s="477" t="s">
        <v>8</v>
      </c>
      <c r="AA679" s="453" t="s">
        <v>29</v>
      </c>
      <c r="AB679" s="542" t="s">
        <v>450</v>
      </c>
      <c r="AC679" s="454"/>
      <c r="AD679" s="669">
        <f>AD680</f>
        <v>184081.8</v>
      </c>
      <c r="AE679" s="633">
        <f t="shared" ref="AD679:AF680" si="203">AE680</f>
        <v>188071.3</v>
      </c>
      <c r="AF679" s="643">
        <f t="shared" si="203"/>
        <v>193971.5</v>
      </c>
      <c r="AG679" s="143"/>
      <c r="AH679" s="143"/>
    </row>
    <row r="680" spans="1:35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413</v>
      </c>
      <c r="Z680" s="477" t="s">
        <v>8</v>
      </c>
      <c r="AA680" s="453" t="s">
        <v>29</v>
      </c>
      <c r="AB680" s="542" t="s">
        <v>450</v>
      </c>
      <c r="AC680" s="454">
        <v>600</v>
      </c>
      <c r="AD680" s="669">
        <f t="shared" si="203"/>
        <v>184081.8</v>
      </c>
      <c r="AE680" s="633">
        <f t="shared" si="203"/>
        <v>188071.3</v>
      </c>
      <c r="AF680" s="643">
        <f t="shared" si="203"/>
        <v>193971.5</v>
      </c>
      <c r="AG680" s="143"/>
      <c r="AH680" s="143"/>
    </row>
    <row r="681" spans="1:3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413</v>
      </c>
      <c r="Z681" s="453" t="s">
        <v>8</v>
      </c>
      <c r="AA681" s="453" t="s">
        <v>29</v>
      </c>
      <c r="AB681" s="542" t="s">
        <v>450</v>
      </c>
      <c r="AC681" s="454">
        <v>610</v>
      </c>
      <c r="AD681" s="669">
        <f>182591.4+1490.4</f>
        <v>184081.8</v>
      </c>
      <c r="AE681" s="633">
        <f>186524.3+1547</f>
        <v>188071.3</v>
      </c>
      <c r="AF681" s="643">
        <f>192370.3+1601.2</f>
        <v>193971.5</v>
      </c>
      <c r="AG681" s="143"/>
      <c r="AH681" s="143"/>
    </row>
    <row r="682" spans="1:35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725</v>
      </c>
      <c r="Y682" s="452" t="s">
        <v>413</v>
      </c>
      <c r="Z682" s="477" t="s">
        <v>8</v>
      </c>
      <c r="AA682" s="453" t="s">
        <v>29</v>
      </c>
      <c r="AB682" s="542" t="s">
        <v>820</v>
      </c>
      <c r="AC682" s="454"/>
      <c r="AD682" s="669">
        <f>AD683</f>
        <v>17371</v>
      </c>
      <c r="AE682" s="669">
        <f t="shared" ref="AE682:AF683" si="204">AE683</f>
        <v>0</v>
      </c>
      <c r="AF682" s="669">
        <f t="shared" si="204"/>
        <v>0</v>
      </c>
      <c r="AG682" s="143"/>
      <c r="AH682" s="143"/>
    </row>
    <row r="683" spans="1:35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413</v>
      </c>
      <c r="Z683" s="477" t="s">
        <v>8</v>
      </c>
      <c r="AA683" s="453" t="s">
        <v>29</v>
      </c>
      <c r="AB683" s="542" t="s">
        <v>820</v>
      </c>
      <c r="AC683" s="454">
        <v>600</v>
      </c>
      <c r="AD683" s="669">
        <f>AD684</f>
        <v>17371</v>
      </c>
      <c r="AE683" s="669">
        <f t="shared" si="204"/>
        <v>0</v>
      </c>
      <c r="AF683" s="669">
        <f t="shared" si="204"/>
        <v>0</v>
      </c>
      <c r="AG683" s="143"/>
      <c r="AH683" s="143"/>
    </row>
    <row r="684" spans="1:3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413</v>
      </c>
      <c r="Z684" s="453" t="s">
        <v>8</v>
      </c>
      <c r="AA684" s="453" t="s">
        <v>29</v>
      </c>
      <c r="AB684" s="542" t="s">
        <v>820</v>
      </c>
      <c r="AC684" s="454">
        <v>610</v>
      </c>
      <c r="AD684" s="669">
        <f>26675.4-5000-1774.4-250-1400-880</f>
        <v>17371</v>
      </c>
      <c r="AE684" s="633">
        <v>0</v>
      </c>
      <c r="AF684" s="643">
        <v>0</v>
      </c>
      <c r="AG684" s="143"/>
      <c r="AH684" s="143"/>
    </row>
    <row r="685" spans="1:35" ht="126" x14ac:dyDescent="0.25">
      <c r="X685" s="659" t="s">
        <v>510</v>
      </c>
      <c r="Y685" s="452" t="s">
        <v>413</v>
      </c>
      <c r="Z685" s="469" t="s">
        <v>8</v>
      </c>
      <c r="AA685" s="469" t="s">
        <v>29</v>
      </c>
      <c r="AB685" s="542" t="s">
        <v>470</v>
      </c>
      <c r="AC685" s="573"/>
      <c r="AD685" s="669">
        <f t="shared" ref="AD685:AF686" si="205">AD686</f>
        <v>256577</v>
      </c>
      <c r="AE685" s="633">
        <f t="shared" si="205"/>
        <v>249569</v>
      </c>
      <c r="AF685" s="643">
        <f t="shared" si="205"/>
        <v>249569</v>
      </c>
      <c r="AG685" s="143"/>
      <c r="AH685" s="143"/>
    </row>
    <row r="686" spans="1:35" ht="31.5" x14ac:dyDescent="0.25">
      <c r="X686" s="451" t="s">
        <v>60</v>
      </c>
      <c r="Y686" s="467" t="s">
        <v>413</v>
      </c>
      <c r="Z686" s="469" t="s">
        <v>8</v>
      </c>
      <c r="AA686" s="469" t="s">
        <v>29</v>
      </c>
      <c r="AB686" s="542" t="s">
        <v>470</v>
      </c>
      <c r="AC686" s="482">
        <v>600</v>
      </c>
      <c r="AD686" s="669">
        <f t="shared" si="205"/>
        <v>256577</v>
      </c>
      <c r="AE686" s="633">
        <f t="shared" si="205"/>
        <v>249569</v>
      </c>
      <c r="AF686" s="643">
        <f t="shared" si="205"/>
        <v>249569</v>
      </c>
      <c r="AG686" s="143"/>
      <c r="AH686" s="143"/>
    </row>
    <row r="687" spans="1:35" x14ac:dyDescent="0.25">
      <c r="X687" s="451" t="s">
        <v>61</v>
      </c>
      <c r="Y687" s="452" t="s">
        <v>413</v>
      </c>
      <c r="Z687" s="477" t="s">
        <v>8</v>
      </c>
      <c r="AA687" s="453" t="s">
        <v>29</v>
      </c>
      <c r="AB687" s="542" t="s">
        <v>470</v>
      </c>
      <c r="AC687" s="482">
        <v>610</v>
      </c>
      <c r="AD687" s="669">
        <f>175097+70083+4389+227+6781</f>
        <v>256577</v>
      </c>
      <c r="AE687" s="633">
        <f>175097+70083+4389</f>
        <v>249569</v>
      </c>
      <c r="AF687" s="643">
        <f>175097+70083+4389</f>
        <v>249569</v>
      </c>
      <c r="AG687" s="143"/>
      <c r="AH687" s="143"/>
    </row>
    <row r="688" spans="1:35" ht="31.5" x14ac:dyDescent="0.25">
      <c r="X688" s="451" t="s">
        <v>770</v>
      </c>
      <c r="Y688" s="452" t="s">
        <v>413</v>
      </c>
      <c r="Z688" s="469" t="s">
        <v>8</v>
      </c>
      <c r="AA688" s="469" t="s">
        <v>29</v>
      </c>
      <c r="AB688" s="542" t="s">
        <v>623</v>
      </c>
      <c r="AC688" s="573"/>
      <c r="AD688" s="669">
        <f t="shared" ref="AD688:AF689" si="206">AD689</f>
        <v>200</v>
      </c>
      <c r="AE688" s="633">
        <f t="shared" si="206"/>
        <v>200</v>
      </c>
      <c r="AF688" s="643">
        <f t="shared" si="206"/>
        <v>200</v>
      </c>
      <c r="AG688" s="143"/>
      <c r="AH688" s="143"/>
    </row>
    <row r="689" spans="1:35" ht="31.5" x14ac:dyDescent="0.25">
      <c r="X689" s="451" t="s">
        <v>60</v>
      </c>
      <c r="Y689" s="467" t="s">
        <v>413</v>
      </c>
      <c r="Z689" s="469" t="s">
        <v>8</v>
      </c>
      <c r="AA689" s="469" t="s">
        <v>29</v>
      </c>
      <c r="AB689" s="542" t="s">
        <v>623</v>
      </c>
      <c r="AC689" s="482">
        <v>600</v>
      </c>
      <c r="AD689" s="669">
        <f t="shared" si="206"/>
        <v>200</v>
      </c>
      <c r="AE689" s="633">
        <f t="shared" si="206"/>
        <v>200</v>
      </c>
      <c r="AF689" s="643">
        <f t="shared" si="206"/>
        <v>200</v>
      </c>
      <c r="AG689" s="143"/>
      <c r="AH689" s="143"/>
    </row>
    <row r="690" spans="1:35" x14ac:dyDescent="0.25">
      <c r="X690" s="451" t="s">
        <v>61</v>
      </c>
      <c r="Y690" s="452" t="s">
        <v>413</v>
      </c>
      <c r="Z690" s="477" t="s">
        <v>8</v>
      </c>
      <c r="AA690" s="453" t="s">
        <v>29</v>
      </c>
      <c r="AB690" s="542" t="s">
        <v>623</v>
      </c>
      <c r="AC690" s="482">
        <v>610</v>
      </c>
      <c r="AD690" s="669">
        <v>200</v>
      </c>
      <c r="AE690" s="633">
        <v>200</v>
      </c>
      <c r="AF690" s="643">
        <v>200</v>
      </c>
      <c r="AG690" s="143"/>
      <c r="AH690" s="143"/>
    </row>
    <row r="691" spans="1:35" ht="31.5" customHeight="1" x14ac:dyDescent="0.25">
      <c r="X691" s="451" t="s">
        <v>777</v>
      </c>
      <c r="Y691" s="452" t="s">
        <v>413</v>
      </c>
      <c r="Z691" s="477" t="s">
        <v>8</v>
      </c>
      <c r="AA691" s="453" t="s">
        <v>29</v>
      </c>
      <c r="AB691" s="541" t="s">
        <v>661</v>
      </c>
      <c r="AC691" s="454"/>
      <c r="AD691" s="669">
        <f t="shared" ref="AD691:AF692" si="207">AD692</f>
        <v>14478</v>
      </c>
      <c r="AE691" s="633">
        <f t="shared" si="207"/>
        <v>23983</v>
      </c>
      <c r="AF691" s="643">
        <f t="shared" si="207"/>
        <v>23983</v>
      </c>
      <c r="AG691" s="143"/>
      <c r="AH691" s="143"/>
    </row>
    <row r="692" spans="1:35" ht="31.5" x14ac:dyDescent="0.25">
      <c r="X692" s="451" t="s">
        <v>60</v>
      </c>
      <c r="Y692" s="452" t="s">
        <v>413</v>
      </c>
      <c r="Z692" s="477" t="s">
        <v>8</v>
      </c>
      <c r="AA692" s="453" t="s">
        <v>29</v>
      </c>
      <c r="AB692" s="541" t="s">
        <v>661</v>
      </c>
      <c r="AC692" s="454">
        <v>600</v>
      </c>
      <c r="AD692" s="669">
        <f t="shared" si="207"/>
        <v>14478</v>
      </c>
      <c r="AE692" s="633">
        <f t="shared" si="207"/>
        <v>23983</v>
      </c>
      <c r="AF692" s="643">
        <f t="shared" si="207"/>
        <v>23983</v>
      </c>
      <c r="AG692" s="143"/>
      <c r="AH692" s="143"/>
    </row>
    <row r="693" spans="1:35" x14ac:dyDescent="0.25">
      <c r="X693" s="451" t="s">
        <v>61</v>
      </c>
      <c r="Y693" s="452" t="s">
        <v>413</v>
      </c>
      <c r="Z693" s="477" t="s">
        <v>8</v>
      </c>
      <c r="AA693" s="453" t="s">
        <v>29</v>
      </c>
      <c r="AB693" s="541" t="s">
        <v>661</v>
      </c>
      <c r="AC693" s="454">
        <v>610</v>
      </c>
      <c r="AD693" s="669">
        <f>19530+4453-7812-1693</f>
        <v>14478</v>
      </c>
      <c r="AE693" s="633">
        <f>4453+19530</f>
        <v>23983</v>
      </c>
      <c r="AF693" s="643">
        <f>19530+4453</f>
        <v>23983</v>
      </c>
      <c r="AG693" s="143"/>
      <c r="AH693" s="143"/>
    </row>
    <row r="694" spans="1:35" ht="47.25" x14ac:dyDescent="0.25">
      <c r="X694" s="459" t="s">
        <v>267</v>
      </c>
      <c r="Y694" s="452" t="s">
        <v>413</v>
      </c>
      <c r="Z694" s="477" t="s">
        <v>8</v>
      </c>
      <c r="AA694" s="454" t="s">
        <v>29</v>
      </c>
      <c r="AB694" s="458" t="s">
        <v>126</v>
      </c>
      <c r="AC694" s="456"/>
      <c r="AD694" s="695">
        <f t="shared" ref="AD694:AF696" si="208">AD695</f>
        <v>2163</v>
      </c>
      <c r="AE694" s="695">
        <f t="shared" si="208"/>
        <v>0</v>
      </c>
      <c r="AF694" s="695">
        <f t="shared" si="208"/>
        <v>0</v>
      </c>
      <c r="AG694" s="143"/>
      <c r="AH694" s="143"/>
    </row>
    <row r="695" spans="1:35" ht="63" x14ac:dyDescent="0.25">
      <c r="X695" s="451" t="s">
        <v>798</v>
      </c>
      <c r="Y695" s="452" t="s">
        <v>413</v>
      </c>
      <c r="Z695" s="477" t="s">
        <v>8</v>
      </c>
      <c r="AA695" s="454" t="s">
        <v>29</v>
      </c>
      <c r="AB695" s="458" t="s">
        <v>799</v>
      </c>
      <c r="AC695" s="456"/>
      <c r="AD695" s="695">
        <f t="shared" si="208"/>
        <v>2163</v>
      </c>
      <c r="AE695" s="695">
        <f t="shared" si="208"/>
        <v>0</v>
      </c>
      <c r="AF695" s="695">
        <f t="shared" si="208"/>
        <v>0</v>
      </c>
      <c r="AG695" s="143"/>
      <c r="AH695" s="143"/>
    </row>
    <row r="696" spans="1:35" ht="31.5" x14ac:dyDescent="0.25">
      <c r="X696" s="451" t="s">
        <v>60</v>
      </c>
      <c r="Y696" s="452" t="s">
        <v>413</v>
      </c>
      <c r="Z696" s="477" t="s">
        <v>8</v>
      </c>
      <c r="AA696" s="454" t="s">
        <v>29</v>
      </c>
      <c r="AB696" s="458" t="s">
        <v>799</v>
      </c>
      <c r="AC696" s="456">
        <v>600</v>
      </c>
      <c r="AD696" s="695">
        <f t="shared" si="208"/>
        <v>2163</v>
      </c>
      <c r="AE696" s="695">
        <f t="shared" si="208"/>
        <v>0</v>
      </c>
      <c r="AF696" s="695">
        <f t="shared" si="208"/>
        <v>0</v>
      </c>
      <c r="AG696" s="143"/>
      <c r="AH696" s="143"/>
    </row>
    <row r="697" spans="1:35" x14ac:dyDescent="0.25">
      <c r="X697" s="451" t="s">
        <v>61</v>
      </c>
      <c r="Y697" s="452" t="s">
        <v>413</v>
      </c>
      <c r="Z697" s="477" t="s">
        <v>8</v>
      </c>
      <c r="AA697" s="454" t="s">
        <v>29</v>
      </c>
      <c r="AB697" s="458" t="s">
        <v>799</v>
      </c>
      <c r="AC697" s="456">
        <v>610</v>
      </c>
      <c r="AD697" s="695">
        <v>2163</v>
      </c>
      <c r="AE697" s="695">
        <v>0</v>
      </c>
      <c r="AF697" s="695">
        <v>0</v>
      </c>
      <c r="AG697" s="143"/>
      <c r="AH697" s="143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34</v>
      </c>
      <c r="Y698" s="467" t="s">
        <v>413</v>
      </c>
      <c r="Z698" s="477" t="s">
        <v>8</v>
      </c>
      <c r="AA698" s="453" t="s">
        <v>30</v>
      </c>
      <c r="AB698" s="541"/>
      <c r="AC698" s="482"/>
      <c r="AD698" s="669">
        <f>AD699+AH7165+AD761</f>
        <v>895547.90000000014</v>
      </c>
      <c r="AE698" s="669">
        <f>AE699+AI7165+AE761</f>
        <v>727748.5</v>
      </c>
      <c r="AF698" s="669">
        <f>AF699+AJ7165+AF761</f>
        <v>716115.5</v>
      </c>
      <c r="AG698" s="415"/>
      <c r="AH698" s="415"/>
      <c r="AI698" s="415"/>
    </row>
    <row r="699" spans="1:35" x14ac:dyDescent="0.25">
      <c r="X699" s="459" t="s">
        <v>262</v>
      </c>
      <c r="Y699" s="452" t="s">
        <v>413</v>
      </c>
      <c r="Z699" s="477" t="s">
        <v>8</v>
      </c>
      <c r="AA699" s="453" t="s">
        <v>30</v>
      </c>
      <c r="AB699" s="542" t="s">
        <v>100</v>
      </c>
      <c r="AC699" s="454"/>
      <c r="AD699" s="669">
        <f>AD700</f>
        <v>889547.90000000014</v>
      </c>
      <c r="AE699" s="633">
        <f>AE700</f>
        <v>727748.5</v>
      </c>
      <c r="AF699" s="643">
        <f>AF700</f>
        <v>716115.5</v>
      </c>
    </row>
    <row r="700" spans="1:35" x14ac:dyDescent="0.25">
      <c r="X700" s="459" t="s">
        <v>265</v>
      </c>
      <c r="Y700" s="452" t="s">
        <v>413</v>
      </c>
      <c r="Z700" s="453" t="s">
        <v>8</v>
      </c>
      <c r="AA700" s="453" t="s">
        <v>30</v>
      </c>
      <c r="AB700" s="542" t="s">
        <v>117</v>
      </c>
      <c r="AC700" s="454"/>
      <c r="AD700" s="669">
        <f>AD701+AD726+AD740+AD747+AD751+AD736</f>
        <v>889547.90000000014</v>
      </c>
      <c r="AE700" s="669">
        <f t="shared" ref="AE700:AF700" si="209">AE701+AE726+AE740+AE747+AE751+AE736</f>
        <v>727748.5</v>
      </c>
      <c r="AF700" s="669">
        <f t="shared" si="209"/>
        <v>716115.5</v>
      </c>
    </row>
    <row r="701" spans="1:35" ht="31.5" x14ac:dyDescent="0.25">
      <c r="X701" s="459" t="s">
        <v>266</v>
      </c>
      <c r="Y701" s="467" t="s">
        <v>413</v>
      </c>
      <c r="Z701" s="453" t="s">
        <v>8</v>
      </c>
      <c r="AA701" s="453" t="s">
        <v>30</v>
      </c>
      <c r="AB701" s="542" t="s">
        <v>446</v>
      </c>
      <c r="AC701" s="454"/>
      <c r="AD701" s="669">
        <f>AD705+AD714+AD719+AD702+AD720+AD723</f>
        <v>786143.20000000007</v>
      </c>
      <c r="AE701" s="633">
        <f t="shared" ref="AE701:AF701" si="210">AE705+AE714+AE719+AE702+AE720+AE723</f>
        <v>630900.1</v>
      </c>
      <c r="AF701" s="643">
        <f t="shared" si="210"/>
        <v>632000.5</v>
      </c>
    </row>
    <row r="702" spans="1:35" ht="31.5" x14ac:dyDescent="0.25">
      <c r="X702" s="459" t="s">
        <v>684</v>
      </c>
      <c r="Y702" s="452">
        <v>901</v>
      </c>
      <c r="Z702" s="477" t="s">
        <v>8</v>
      </c>
      <c r="AA702" s="453" t="s">
        <v>30</v>
      </c>
      <c r="AB702" s="542" t="s">
        <v>683</v>
      </c>
      <c r="AC702" s="568"/>
      <c r="AD702" s="669">
        <f t="shared" ref="AD702:AF703" si="211">AD703</f>
        <v>30653.9</v>
      </c>
      <c r="AE702" s="633">
        <f t="shared" si="211"/>
        <v>21201.200000000001</v>
      </c>
      <c r="AF702" s="643">
        <f t="shared" si="211"/>
        <v>19198.599999999999</v>
      </c>
    </row>
    <row r="703" spans="1:35" x14ac:dyDescent="0.25">
      <c r="X703" s="451" t="s">
        <v>120</v>
      </c>
      <c r="Y703" s="452">
        <v>901</v>
      </c>
      <c r="Z703" s="477" t="s">
        <v>8</v>
      </c>
      <c r="AA703" s="453" t="s">
        <v>30</v>
      </c>
      <c r="AB703" s="542" t="s">
        <v>683</v>
      </c>
      <c r="AC703" s="454">
        <v>200</v>
      </c>
      <c r="AD703" s="669">
        <f t="shared" si="211"/>
        <v>30653.9</v>
      </c>
      <c r="AE703" s="633">
        <f t="shared" si="211"/>
        <v>21201.200000000001</v>
      </c>
      <c r="AF703" s="643">
        <f t="shared" si="211"/>
        <v>19198.599999999999</v>
      </c>
    </row>
    <row r="704" spans="1:35" ht="31.5" x14ac:dyDescent="0.25">
      <c r="X704" s="451" t="s">
        <v>52</v>
      </c>
      <c r="Y704" s="452">
        <v>901</v>
      </c>
      <c r="Z704" s="453" t="s">
        <v>8</v>
      </c>
      <c r="AA704" s="453" t="s">
        <v>30</v>
      </c>
      <c r="AB704" s="542" t="s">
        <v>683</v>
      </c>
      <c r="AC704" s="454">
        <v>240</v>
      </c>
      <c r="AD704" s="669">
        <f>17836.4+12817.5</f>
        <v>30653.9</v>
      </c>
      <c r="AE704" s="633">
        <f>19163.7+2037.5</f>
        <v>21201.200000000001</v>
      </c>
      <c r="AF704" s="643">
        <v>19198.599999999999</v>
      </c>
    </row>
    <row r="705" spans="24:33" s="3" customFormat="1" ht="47.25" x14ac:dyDescent="0.25">
      <c r="X705" s="459" t="s">
        <v>431</v>
      </c>
      <c r="Y705" s="467" t="s">
        <v>413</v>
      </c>
      <c r="Z705" s="453" t="s">
        <v>8</v>
      </c>
      <c r="AA705" s="453" t="s">
        <v>30</v>
      </c>
      <c r="AB705" s="542" t="s">
        <v>467</v>
      </c>
      <c r="AC705" s="454"/>
      <c r="AD705" s="669">
        <f>AD706+AD709</f>
        <v>232210.3</v>
      </c>
      <c r="AE705" s="633">
        <f>AE706+AE709</f>
        <v>101185.9</v>
      </c>
      <c r="AF705" s="643">
        <f>AF706+AF709</f>
        <v>104288.90000000001</v>
      </c>
      <c r="AG705" s="18"/>
    </row>
    <row r="706" spans="24:33" s="3" customFormat="1" ht="47.25" x14ac:dyDescent="0.25">
      <c r="X706" s="459" t="s">
        <v>507</v>
      </c>
      <c r="Y706" s="452" t="s">
        <v>413</v>
      </c>
      <c r="Z706" s="453" t="s">
        <v>8</v>
      </c>
      <c r="AA706" s="453" t="s">
        <v>30</v>
      </c>
      <c r="AB706" s="542" t="s">
        <v>468</v>
      </c>
      <c r="AC706" s="573"/>
      <c r="AD706" s="669">
        <f>AD707</f>
        <v>121953.70000000001</v>
      </c>
      <c r="AE706" s="633">
        <f>AE707</f>
        <v>101185.9</v>
      </c>
      <c r="AF706" s="643">
        <f>AF707</f>
        <v>104288.90000000001</v>
      </c>
      <c r="AG706" s="18"/>
    </row>
    <row r="707" spans="24:33" s="3" customFormat="1" ht="31.5" x14ac:dyDescent="0.25">
      <c r="X707" s="451" t="s">
        <v>60</v>
      </c>
      <c r="Y707" s="452" t="s">
        <v>413</v>
      </c>
      <c r="Z707" s="453" t="s">
        <v>8</v>
      </c>
      <c r="AA707" s="453" t="s">
        <v>30</v>
      </c>
      <c r="AB707" s="542" t="s">
        <v>468</v>
      </c>
      <c r="AC707" s="454">
        <v>600</v>
      </c>
      <c r="AD707" s="669">
        <f t="shared" ref="AD707:AF712" si="212">AD708</f>
        <v>121953.70000000001</v>
      </c>
      <c r="AE707" s="633">
        <f t="shared" si="212"/>
        <v>101185.9</v>
      </c>
      <c r="AF707" s="643">
        <f t="shared" si="212"/>
        <v>104288.90000000001</v>
      </c>
      <c r="AG707" s="18"/>
    </row>
    <row r="708" spans="24:33" s="3" customFormat="1" x14ac:dyDescent="0.25">
      <c r="X708" s="451" t="s">
        <v>61</v>
      </c>
      <c r="Y708" s="452" t="s">
        <v>413</v>
      </c>
      <c r="Z708" s="453" t="s">
        <v>8</v>
      </c>
      <c r="AA708" s="453" t="s">
        <v>30</v>
      </c>
      <c r="AB708" s="542" t="s">
        <v>468</v>
      </c>
      <c r="AC708" s="454">
        <v>610</v>
      </c>
      <c r="AD708" s="669">
        <f>96762.1+1614.6+3832.2+1000+11581.8+3161+1400+2602</f>
        <v>121953.70000000001</v>
      </c>
      <c r="AE708" s="633">
        <f>99509.9+1676</f>
        <v>101185.9</v>
      </c>
      <c r="AF708" s="643">
        <f>102557.3+1731.6</f>
        <v>104288.90000000001</v>
      </c>
      <c r="AG708" s="18"/>
    </row>
    <row r="709" spans="24:33" s="3" customFormat="1" ht="47.25" x14ac:dyDescent="0.25">
      <c r="X709" s="451" t="s">
        <v>725</v>
      </c>
      <c r="Y709" s="452" t="s">
        <v>413</v>
      </c>
      <c r="Z709" s="453" t="s">
        <v>8</v>
      </c>
      <c r="AA709" s="453" t="s">
        <v>30</v>
      </c>
      <c r="AB709" s="542" t="s">
        <v>469</v>
      </c>
      <c r="AC709" s="454"/>
      <c r="AD709" s="669">
        <f>AD712+AD710</f>
        <v>110256.59999999999</v>
      </c>
      <c r="AE709" s="669">
        <f t="shared" ref="AE709:AF709" si="213">AE712+AE710</f>
        <v>0</v>
      </c>
      <c r="AF709" s="669">
        <f t="shared" si="213"/>
        <v>0</v>
      </c>
      <c r="AG709" s="18"/>
    </row>
    <row r="710" spans="24:33" s="3" customFormat="1" x14ac:dyDescent="0.25">
      <c r="X710" s="451" t="s">
        <v>120</v>
      </c>
      <c r="Y710" s="452" t="s">
        <v>413</v>
      </c>
      <c r="Z710" s="453" t="s">
        <v>8</v>
      </c>
      <c r="AA710" s="453" t="s">
        <v>30</v>
      </c>
      <c r="AB710" s="542" t="s">
        <v>469</v>
      </c>
      <c r="AC710" s="454">
        <v>200</v>
      </c>
      <c r="AD710" s="669">
        <f>AD711</f>
        <v>92805.9</v>
      </c>
      <c r="AE710" s="669">
        <f t="shared" ref="AE710:AF710" si="214">AE711</f>
        <v>0</v>
      </c>
      <c r="AF710" s="669">
        <f t="shared" si="214"/>
        <v>0</v>
      </c>
      <c r="AG710" s="18"/>
    </row>
    <row r="711" spans="24:33" s="3" customFormat="1" ht="31.5" x14ac:dyDescent="0.25">
      <c r="X711" s="451" t="s">
        <v>52</v>
      </c>
      <c r="Y711" s="452" t="s">
        <v>413</v>
      </c>
      <c r="Z711" s="453" t="s">
        <v>8</v>
      </c>
      <c r="AA711" s="453" t="s">
        <v>30</v>
      </c>
      <c r="AB711" s="542" t="s">
        <v>469</v>
      </c>
      <c r="AC711" s="454">
        <v>240</v>
      </c>
      <c r="AD711" s="669">
        <f>124655.7-31849.8</f>
        <v>92805.9</v>
      </c>
      <c r="AE711" s="633">
        <v>0</v>
      </c>
      <c r="AF711" s="643">
        <v>0</v>
      </c>
      <c r="AG711" s="18"/>
    </row>
    <row r="712" spans="24:33" s="3" customFormat="1" ht="31.5" x14ac:dyDescent="0.25">
      <c r="X712" s="451" t="s">
        <v>60</v>
      </c>
      <c r="Y712" s="452" t="s">
        <v>413</v>
      </c>
      <c r="Z712" s="453" t="s">
        <v>8</v>
      </c>
      <c r="AA712" s="453" t="s">
        <v>30</v>
      </c>
      <c r="AB712" s="542" t="s">
        <v>469</v>
      </c>
      <c r="AC712" s="454">
        <v>600</v>
      </c>
      <c r="AD712" s="669">
        <f t="shared" si="212"/>
        <v>17450.7</v>
      </c>
      <c r="AE712" s="633">
        <f t="shared" si="212"/>
        <v>0</v>
      </c>
      <c r="AF712" s="643">
        <f t="shared" si="212"/>
        <v>0</v>
      </c>
      <c r="AG712" s="18"/>
    </row>
    <row r="713" spans="24:33" s="3" customFormat="1" x14ac:dyDescent="0.25">
      <c r="X713" s="451" t="s">
        <v>61</v>
      </c>
      <c r="Y713" s="452" t="s">
        <v>413</v>
      </c>
      <c r="Z713" s="453" t="s">
        <v>8</v>
      </c>
      <c r="AA713" s="453" t="s">
        <v>30</v>
      </c>
      <c r="AB713" s="542" t="s">
        <v>469</v>
      </c>
      <c r="AC713" s="454">
        <v>610</v>
      </c>
      <c r="AD713" s="669">
        <f>834.1+6980.5+5000+1774.4+250+831.7+900+880</f>
        <v>17450.7</v>
      </c>
      <c r="AE713" s="633">
        <v>0</v>
      </c>
      <c r="AF713" s="643">
        <v>0</v>
      </c>
      <c r="AG713" s="263"/>
    </row>
    <row r="714" spans="24:33" s="3" customFormat="1" ht="126" x14ac:dyDescent="0.25">
      <c r="X714" s="659" t="s">
        <v>510</v>
      </c>
      <c r="Y714" s="452" t="s">
        <v>413</v>
      </c>
      <c r="Z714" s="453" t="s">
        <v>8</v>
      </c>
      <c r="AA714" s="453" t="s">
        <v>30</v>
      </c>
      <c r="AB714" s="541" t="s">
        <v>470</v>
      </c>
      <c r="AC714" s="482"/>
      <c r="AD714" s="669">
        <f t="shared" ref="AD714:AF715" si="215">AD715</f>
        <v>501537</v>
      </c>
      <c r="AE714" s="633">
        <f t="shared" si="215"/>
        <v>479541</v>
      </c>
      <c r="AF714" s="643">
        <f t="shared" si="215"/>
        <v>479541</v>
      </c>
      <c r="AG714" s="18"/>
    </row>
    <row r="715" spans="24:33" s="3" customFormat="1" ht="31.5" x14ac:dyDescent="0.25">
      <c r="X715" s="451" t="s">
        <v>60</v>
      </c>
      <c r="Y715" s="452" t="s">
        <v>413</v>
      </c>
      <c r="Z715" s="453" t="s">
        <v>8</v>
      </c>
      <c r="AA715" s="453" t="s">
        <v>30</v>
      </c>
      <c r="AB715" s="541" t="s">
        <v>470</v>
      </c>
      <c r="AC715" s="454">
        <v>600</v>
      </c>
      <c r="AD715" s="669">
        <f t="shared" si="215"/>
        <v>501537</v>
      </c>
      <c r="AE715" s="633">
        <f t="shared" si="215"/>
        <v>479541</v>
      </c>
      <c r="AF715" s="643">
        <f t="shared" si="215"/>
        <v>479541</v>
      </c>
      <c r="AG715" s="18"/>
    </row>
    <row r="716" spans="24:33" s="3" customFormat="1" x14ac:dyDescent="0.25">
      <c r="X716" s="451" t="s">
        <v>61</v>
      </c>
      <c r="Y716" s="452" t="s">
        <v>413</v>
      </c>
      <c r="Z716" s="453" t="s">
        <v>8</v>
      </c>
      <c r="AA716" s="453" t="s">
        <v>30</v>
      </c>
      <c r="AB716" s="541" t="s">
        <v>470</v>
      </c>
      <c r="AC716" s="454">
        <v>610</v>
      </c>
      <c r="AD716" s="669">
        <f>361802+95703+22036+723+21273</f>
        <v>501537</v>
      </c>
      <c r="AE716" s="633">
        <f>361802+95703+22036</f>
        <v>479541</v>
      </c>
      <c r="AF716" s="643">
        <f>361802+95703+22036</f>
        <v>479541</v>
      </c>
      <c r="AG716" s="18"/>
    </row>
    <row r="717" spans="24:33" s="3" customFormat="1" ht="31.5" x14ac:dyDescent="0.25">
      <c r="X717" s="451" t="s">
        <v>770</v>
      </c>
      <c r="Y717" s="452" t="s">
        <v>413</v>
      </c>
      <c r="Z717" s="453" t="s">
        <v>8</v>
      </c>
      <c r="AA717" s="453" t="s">
        <v>30</v>
      </c>
      <c r="AB717" s="542" t="s">
        <v>623</v>
      </c>
      <c r="AC717" s="573"/>
      <c r="AD717" s="669">
        <f t="shared" ref="AD717:AF718" si="216">AD718</f>
        <v>1708</v>
      </c>
      <c r="AE717" s="633">
        <f t="shared" si="216"/>
        <v>1708</v>
      </c>
      <c r="AF717" s="643">
        <f t="shared" si="216"/>
        <v>1708</v>
      </c>
      <c r="AG717" s="18"/>
    </row>
    <row r="718" spans="24:33" s="3" customFormat="1" ht="31.5" x14ac:dyDescent="0.25">
      <c r="X718" s="451" t="s">
        <v>60</v>
      </c>
      <c r="Y718" s="467" t="s">
        <v>413</v>
      </c>
      <c r="Z718" s="453" t="s">
        <v>8</v>
      </c>
      <c r="AA718" s="453" t="s">
        <v>30</v>
      </c>
      <c r="AB718" s="542" t="s">
        <v>623</v>
      </c>
      <c r="AC718" s="482">
        <v>600</v>
      </c>
      <c r="AD718" s="669">
        <f t="shared" si="216"/>
        <v>1708</v>
      </c>
      <c r="AE718" s="633">
        <f t="shared" si="216"/>
        <v>1708</v>
      </c>
      <c r="AF718" s="643">
        <f t="shared" si="216"/>
        <v>1708</v>
      </c>
      <c r="AG718" s="18"/>
    </row>
    <row r="719" spans="24:33" s="3" customFormat="1" x14ac:dyDescent="0.25">
      <c r="X719" s="451" t="s">
        <v>61</v>
      </c>
      <c r="Y719" s="452" t="s">
        <v>413</v>
      </c>
      <c r="Z719" s="453" t="s">
        <v>8</v>
      </c>
      <c r="AA719" s="453" t="s">
        <v>30</v>
      </c>
      <c r="AB719" s="542" t="s">
        <v>623</v>
      </c>
      <c r="AC719" s="482">
        <v>610</v>
      </c>
      <c r="AD719" s="669">
        <f>800+908</f>
        <v>1708</v>
      </c>
      <c r="AE719" s="633">
        <f>800+908</f>
        <v>1708</v>
      </c>
      <c r="AF719" s="643">
        <f>800+908</f>
        <v>1708</v>
      </c>
      <c r="AG719" s="18"/>
    </row>
    <row r="720" spans="24:33" s="3" customFormat="1" ht="63" x14ac:dyDescent="0.25">
      <c r="X720" s="451" t="s">
        <v>655</v>
      </c>
      <c r="Y720" s="452" t="s">
        <v>413</v>
      </c>
      <c r="Z720" s="453" t="s">
        <v>8</v>
      </c>
      <c r="AA720" s="453" t="s">
        <v>30</v>
      </c>
      <c r="AB720" s="541" t="s">
        <v>656</v>
      </c>
      <c r="AC720" s="454"/>
      <c r="AD720" s="669">
        <f>AD721</f>
        <v>2535</v>
      </c>
      <c r="AE720" s="633">
        <f t="shared" ref="AE720:AF721" si="217">AE721</f>
        <v>0</v>
      </c>
      <c r="AF720" s="643">
        <f t="shared" si="217"/>
        <v>0</v>
      </c>
      <c r="AG720" s="18"/>
    </row>
    <row r="721" spans="24:33" s="3" customFormat="1" ht="31.5" x14ac:dyDescent="0.25">
      <c r="X721" s="451" t="s">
        <v>60</v>
      </c>
      <c r="Y721" s="452" t="s">
        <v>413</v>
      </c>
      <c r="Z721" s="453" t="s">
        <v>8</v>
      </c>
      <c r="AA721" s="453" t="s">
        <v>30</v>
      </c>
      <c r="AB721" s="541" t="s">
        <v>656</v>
      </c>
      <c r="AC721" s="454">
        <v>600</v>
      </c>
      <c r="AD721" s="669">
        <f>AD722</f>
        <v>2535</v>
      </c>
      <c r="AE721" s="633">
        <f t="shared" si="217"/>
        <v>0</v>
      </c>
      <c r="AF721" s="643">
        <f t="shared" si="217"/>
        <v>0</v>
      </c>
      <c r="AG721" s="18"/>
    </row>
    <row r="722" spans="24:33" s="3" customFormat="1" x14ac:dyDescent="0.25">
      <c r="X722" s="451" t="s">
        <v>61</v>
      </c>
      <c r="Y722" s="452" t="s">
        <v>413</v>
      </c>
      <c r="Z722" s="453" t="s">
        <v>8</v>
      </c>
      <c r="AA722" s="453" t="s">
        <v>30</v>
      </c>
      <c r="AB722" s="541" t="s">
        <v>656</v>
      </c>
      <c r="AC722" s="454">
        <v>610</v>
      </c>
      <c r="AD722" s="669">
        <f>1910+625</f>
        <v>2535</v>
      </c>
      <c r="AE722" s="633">
        <v>0</v>
      </c>
      <c r="AF722" s="643">
        <v>0</v>
      </c>
      <c r="AG722" s="18"/>
    </row>
    <row r="723" spans="24:33" s="3" customFormat="1" ht="36" customHeight="1" x14ac:dyDescent="0.25">
      <c r="X723" s="451" t="s">
        <v>777</v>
      </c>
      <c r="Y723" s="452" t="s">
        <v>413</v>
      </c>
      <c r="Z723" s="453" t="s">
        <v>8</v>
      </c>
      <c r="AA723" s="453" t="s">
        <v>30</v>
      </c>
      <c r="AB723" s="541" t="s">
        <v>661</v>
      </c>
      <c r="AC723" s="454"/>
      <c r="AD723" s="669">
        <f>AD724</f>
        <v>17499</v>
      </c>
      <c r="AE723" s="633">
        <f t="shared" ref="AE723:AF724" si="218">AE724</f>
        <v>27264</v>
      </c>
      <c r="AF723" s="643">
        <f t="shared" si="218"/>
        <v>27264</v>
      </c>
      <c r="AG723" s="18"/>
    </row>
    <row r="724" spans="24:33" s="3" customFormat="1" ht="31.5" x14ac:dyDescent="0.25">
      <c r="X724" s="451" t="s">
        <v>60</v>
      </c>
      <c r="Y724" s="452" t="s">
        <v>413</v>
      </c>
      <c r="Z724" s="453" t="s">
        <v>8</v>
      </c>
      <c r="AA724" s="453" t="s">
        <v>30</v>
      </c>
      <c r="AB724" s="541" t="s">
        <v>661</v>
      </c>
      <c r="AC724" s="454">
        <v>600</v>
      </c>
      <c r="AD724" s="669">
        <f>AD725</f>
        <v>17499</v>
      </c>
      <c r="AE724" s="633">
        <f t="shared" si="218"/>
        <v>27264</v>
      </c>
      <c r="AF724" s="643">
        <f t="shared" si="218"/>
        <v>27264</v>
      </c>
      <c r="AG724" s="18"/>
    </row>
    <row r="725" spans="24:33" s="3" customFormat="1" x14ac:dyDescent="0.25">
      <c r="X725" s="451" t="s">
        <v>61</v>
      </c>
      <c r="Y725" s="452" t="s">
        <v>413</v>
      </c>
      <c r="Z725" s="453" t="s">
        <v>8</v>
      </c>
      <c r="AA725" s="453" t="s">
        <v>30</v>
      </c>
      <c r="AB725" s="541" t="s">
        <v>661</v>
      </c>
      <c r="AC725" s="454">
        <v>610</v>
      </c>
      <c r="AD725" s="669">
        <f>27264-9765</f>
        <v>17499</v>
      </c>
      <c r="AE725" s="633">
        <v>27264</v>
      </c>
      <c r="AF725" s="643">
        <v>27264</v>
      </c>
      <c r="AG725" s="18"/>
    </row>
    <row r="726" spans="24:33" s="3" customFormat="1" ht="47.25" x14ac:dyDescent="0.25">
      <c r="X726" s="459" t="s">
        <v>267</v>
      </c>
      <c r="Y726" s="452" t="s">
        <v>413</v>
      </c>
      <c r="Z726" s="453" t="s">
        <v>8</v>
      </c>
      <c r="AA726" s="453" t="s">
        <v>30</v>
      </c>
      <c r="AB726" s="542" t="s">
        <v>126</v>
      </c>
      <c r="AC726" s="454"/>
      <c r="AD726" s="669">
        <f>AD727+AD730+AD733</f>
        <v>46662.299999999996</v>
      </c>
      <c r="AE726" s="669">
        <f t="shared" ref="AE726:AF726" si="219">AE727+AE730+AE733</f>
        <v>51469</v>
      </c>
      <c r="AF726" s="669">
        <f t="shared" si="219"/>
        <v>38704.6</v>
      </c>
    </row>
    <row r="727" spans="24:33" s="3" customFormat="1" ht="31.5" x14ac:dyDescent="0.25">
      <c r="X727" s="451" t="s">
        <v>509</v>
      </c>
      <c r="Y727" s="452" t="s">
        <v>413</v>
      </c>
      <c r="Z727" s="453" t="s">
        <v>8</v>
      </c>
      <c r="AA727" s="453" t="s">
        <v>30</v>
      </c>
      <c r="AB727" s="542" t="s">
        <v>471</v>
      </c>
      <c r="AC727" s="454"/>
      <c r="AD727" s="669">
        <f t="shared" ref="AD727:AF728" si="220">AD728</f>
        <v>18</v>
      </c>
      <c r="AE727" s="633">
        <f t="shared" si="220"/>
        <v>18</v>
      </c>
      <c r="AF727" s="643">
        <f t="shared" si="220"/>
        <v>18</v>
      </c>
    </row>
    <row r="728" spans="24:33" s="3" customFormat="1" ht="31.5" x14ac:dyDescent="0.25">
      <c r="X728" s="451" t="s">
        <v>60</v>
      </c>
      <c r="Y728" s="452" t="s">
        <v>413</v>
      </c>
      <c r="Z728" s="453" t="s">
        <v>8</v>
      </c>
      <c r="AA728" s="453" t="s">
        <v>30</v>
      </c>
      <c r="AB728" s="542" t="s">
        <v>471</v>
      </c>
      <c r="AC728" s="482">
        <v>600</v>
      </c>
      <c r="AD728" s="669">
        <f t="shared" si="220"/>
        <v>18</v>
      </c>
      <c r="AE728" s="633">
        <f t="shared" si="220"/>
        <v>18</v>
      </c>
      <c r="AF728" s="643">
        <f t="shared" si="220"/>
        <v>18</v>
      </c>
    </row>
    <row r="729" spans="24:33" s="3" customFormat="1" x14ac:dyDescent="0.25">
      <c r="X729" s="451" t="s">
        <v>61</v>
      </c>
      <c r="Y729" s="452" t="s">
        <v>413</v>
      </c>
      <c r="Z729" s="453" t="s">
        <v>8</v>
      </c>
      <c r="AA729" s="453" t="s">
        <v>30</v>
      </c>
      <c r="AB729" s="542" t="s">
        <v>471</v>
      </c>
      <c r="AC729" s="482">
        <v>610</v>
      </c>
      <c r="AD729" s="669">
        <v>18</v>
      </c>
      <c r="AE729" s="633">
        <v>18</v>
      </c>
      <c r="AF729" s="643">
        <v>18</v>
      </c>
    </row>
    <row r="730" spans="24:33" s="3" customFormat="1" ht="72.75" customHeight="1" x14ac:dyDescent="0.25">
      <c r="X730" s="451" t="s">
        <v>747</v>
      </c>
      <c r="Y730" s="452" t="s">
        <v>413</v>
      </c>
      <c r="Z730" s="453" t="s">
        <v>8</v>
      </c>
      <c r="AA730" s="453" t="s">
        <v>30</v>
      </c>
      <c r="AB730" s="541" t="s">
        <v>746</v>
      </c>
      <c r="AC730" s="454"/>
      <c r="AD730" s="669">
        <f t="shared" ref="AD730:AF731" si="221">AD731</f>
        <v>39953.799999999996</v>
      </c>
      <c r="AE730" s="633">
        <f t="shared" si="221"/>
        <v>39547.4</v>
      </c>
      <c r="AF730" s="643">
        <f t="shared" si="221"/>
        <v>38686.6</v>
      </c>
    </row>
    <row r="731" spans="24:33" s="3" customFormat="1" x14ac:dyDescent="0.25">
      <c r="X731" s="451" t="s">
        <v>120</v>
      </c>
      <c r="Y731" s="452" t="s">
        <v>413</v>
      </c>
      <c r="Z731" s="453" t="s">
        <v>8</v>
      </c>
      <c r="AA731" s="453" t="s">
        <v>30</v>
      </c>
      <c r="AB731" s="541" t="s">
        <v>746</v>
      </c>
      <c r="AC731" s="454">
        <v>200</v>
      </c>
      <c r="AD731" s="669">
        <f t="shared" si="221"/>
        <v>39953.799999999996</v>
      </c>
      <c r="AE731" s="633">
        <f t="shared" si="221"/>
        <v>39547.4</v>
      </c>
      <c r="AF731" s="643">
        <f t="shared" si="221"/>
        <v>38686.6</v>
      </c>
    </row>
    <row r="732" spans="24:33" s="3" customFormat="1" ht="31.5" x14ac:dyDescent="0.25">
      <c r="X732" s="451" t="s">
        <v>52</v>
      </c>
      <c r="Y732" s="452" t="s">
        <v>413</v>
      </c>
      <c r="Z732" s="453" t="s">
        <v>8</v>
      </c>
      <c r="AA732" s="453" t="s">
        <v>30</v>
      </c>
      <c r="AB732" s="541" t="s">
        <v>746</v>
      </c>
      <c r="AC732" s="454">
        <v>240</v>
      </c>
      <c r="AD732" s="669">
        <f>36496.8-538.4+4055.2-59.8</f>
        <v>39953.799999999996</v>
      </c>
      <c r="AE732" s="633">
        <f>36086.9-494.2+4009.7-55</f>
        <v>39547.4</v>
      </c>
      <c r="AF732" s="643">
        <f>34817.9+3868.7</f>
        <v>38686.6</v>
      </c>
    </row>
    <row r="733" spans="24:33" s="3" customFormat="1" ht="31.5" x14ac:dyDescent="0.25">
      <c r="X733" s="451" t="s">
        <v>833</v>
      </c>
      <c r="Y733" s="452" t="s">
        <v>413</v>
      </c>
      <c r="Z733" s="453" t="s">
        <v>8</v>
      </c>
      <c r="AA733" s="453" t="s">
        <v>30</v>
      </c>
      <c r="AB733" s="541" t="s">
        <v>834</v>
      </c>
      <c r="AC733" s="454"/>
      <c r="AD733" s="669">
        <f>AD734</f>
        <v>6690.5</v>
      </c>
      <c r="AE733" s="669">
        <f t="shared" ref="AE733:AF733" si="222">AE734</f>
        <v>11903.6</v>
      </c>
      <c r="AF733" s="669">
        <f t="shared" si="222"/>
        <v>0</v>
      </c>
    </row>
    <row r="734" spans="24:33" s="3" customFormat="1" x14ac:dyDescent="0.25">
      <c r="X734" s="451" t="s">
        <v>120</v>
      </c>
      <c r="Y734" s="452" t="s">
        <v>413</v>
      </c>
      <c r="Z734" s="453" t="s">
        <v>8</v>
      </c>
      <c r="AA734" s="453" t="s">
        <v>30</v>
      </c>
      <c r="AB734" s="541" t="s">
        <v>834</v>
      </c>
      <c r="AC734" s="454">
        <v>200</v>
      </c>
      <c r="AD734" s="669">
        <f>AD735</f>
        <v>6690.5</v>
      </c>
      <c r="AE734" s="669">
        <f t="shared" ref="AE734:AF734" si="223">AE735</f>
        <v>11903.6</v>
      </c>
      <c r="AF734" s="669">
        <f t="shared" si="223"/>
        <v>0</v>
      </c>
    </row>
    <row r="735" spans="24:33" s="3" customFormat="1" ht="31.5" x14ac:dyDescent="0.25">
      <c r="X735" s="451" t="s">
        <v>52</v>
      </c>
      <c r="Y735" s="452" t="s">
        <v>413</v>
      </c>
      <c r="Z735" s="453" t="s">
        <v>8</v>
      </c>
      <c r="AA735" s="453" t="s">
        <v>30</v>
      </c>
      <c r="AB735" s="541" t="s">
        <v>834</v>
      </c>
      <c r="AC735" s="454">
        <v>240</v>
      </c>
      <c r="AD735" s="669">
        <f>6021.5+669</f>
        <v>6690.5</v>
      </c>
      <c r="AE735" s="633">
        <f>10713.2+1190.4</f>
        <v>11903.6</v>
      </c>
      <c r="AF735" s="643">
        <v>0</v>
      </c>
    </row>
    <row r="736" spans="24:33" s="3" customFormat="1" x14ac:dyDescent="0.25">
      <c r="X736" s="451" t="s">
        <v>838</v>
      </c>
      <c r="Y736" s="452" t="s">
        <v>413</v>
      </c>
      <c r="Z736" s="453" t="s">
        <v>8</v>
      </c>
      <c r="AA736" s="453" t="s">
        <v>30</v>
      </c>
      <c r="AB736" s="542" t="s">
        <v>840</v>
      </c>
      <c r="AC736" s="454"/>
      <c r="AD736" s="669">
        <f>AD737</f>
        <v>8763.1</v>
      </c>
      <c r="AE736" s="669">
        <f t="shared" ref="AE736:AF738" si="224">AE737</f>
        <v>0</v>
      </c>
      <c r="AF736" s="669">
        <f t="shared" si="224"/>
        <v>0</v>
      </c>
    </row>
    <row r="737" spans="24:32" s="3" customFormat="1" x14ac:dyDescent="0.25">
      <c r="X737" s="451" t="s">
        <v>839</v>
      </c>
      <c r="Y737" s="452" t="s">
        <v>413</v>
      </c>
      <c r="Z737" s="453" t="s">
        <v>8</v>
      </c>
      <c r="AA737" s="453" t="s">
        <v>30</v>
      </c>
      <c r="AB737" s="542" t="s">
        <v>841</v>
      </c>
      <c r="AC737" s="454"/>
      <c r="AD737" s="669">
        <f>AD738</f>
        <v>8763.1</v>
      </c>
      <c r="AE737" s="669">
        <f t="shared" si="224"/>
        <v>0</v>
      </c>
      <c r="AF737" s="669">
        <f t="shared" si="224"/>
        <v>0</v>
      </c>
    </row>
    <row r="738" spans="24:32" s="3" customFormat="1" ht="31.5" x14ac:dyDescent="0.25">
      <c r="X738" s="451" t="s">
        <v>60</v>
      </c>
      <c r="Y738" s="452" t="s">
        <v>413</v>
      </c>
      <c r="Z738" s="453" t="s">
        <v>8</v>
      </c>
      <c r="AA738" s="453" t="s">
        <v>30</v>
      </c>
      <c r="AB738" s="542" t="s">
        <v>841</v>
      </c>
      <c r="AC738" s="482">
        <v>600</v>
      </c>
      <c r="AD738" s="669">
        <f>AD739</f>
        <v>8763.1</v>
      </c>
      <c r="AE738" s="669">
        <f t="shared" si="224"/>
        <v>0</v>
      </c>
      <c r="AF738" s="669">
        <f t="shared" si="224"/>
        <v>0</v>
      </c>
    </row>
    <row r="739" spans="24:32" s="3" customFormat="1" x14ac:dyDescent="0.25">
      <c r="X739" s="451" t="s">
        <v>61</v>
      </c>
      <c r="Y739" s="452" t="s">
        <v>413</v>
      </c>
      <c r="Z739" s="453" t="s">
        <v>8</v>
      </c>
      <c r="AA739" s="453" t="s">
        <v>30</v>
      </c>
      <c r="AB739" s="542" t="s">
        <v>841</v>
      </c>
      <c r="AC739" s="482">
        <v>610</v>
      </c>
      <c r="AD739" s="669">
        <f>2920.9+876.2+876.2+4089.8</f>
        <v>8763.1</v>
      </c>
      <c r="AE739" s="633">
        <v>0</v>
      </c>
      <c r="AF739" s="643">
        <v>0</v>
      </c>
    </row>
    <row r="740" spans="24:32" s="3" customFormat="1" ht="47.25" x14ac:dyDescent="0.25">
      <c r="X740" s="459" t="s">
        <v>312</v>
      </c>
      <c r="Y740" s="452" t="s">
        <v>413</v>
      </c>
      <c r="Z740" s="453" t="s">
        <v>8</v>
      </c>
      <c r="AA740" s="453" t="s">
        <v>30</v>
      </c>
      <c r="AB740" s="542" t="s">
        <v>472</v>
      </c>
      <c r="AC740" s="482"/>
      <c r="AD740" s="669">
        <f>AD741+AD744</f>
        <v>5379.9</v>
      </c>
      <c r="AE740" s="633">
        <f>AE741+AE744</f>
        <v>5237.8999999999996</v>
      </c>
      <c r="AF740" s="643">
        <f>AF741+AF744</f>
        <v>5237.8999999999996</v>
      </c>
    </row>
    <row r="741" spans="24:32" s="3" customFormat="1" ht="47.25" x14ac:dyDescent="0.25">
      <c r="X741" s="459" t="s">
        <v>431</v>
      </c>
      <c r="Y741" s="452" t="s">
        <v>413</v>
      </c>
      <c r="Z741" s="453" t="s">
        <v>8</v>
      </c>
      <c r="AA741" s="453" t="s">
        <v>30</v>
      </c>
      <c r="AB741" s="542" t="s">
        <v>473</v>
      </c>
      <c r="AC741" s="482"/>
      <c r="AD741" s="669">
        <f t="shared" ref="AD741:AF742" si="225">AD742</f>
        <v>1865.9</v>
      </c>
      <c r="AE741" s="633">
        <f t="shared" si="225"/>
        <v>1865.9</v>
      </c>
      <c r="AF741" s="643">
        <f t="shared" si="225"/>
        <v>1865.9</v>
      </c>
    </row>
    <row r="742" spans="24:32" s="3" customFormat="1" ht="31.5" x14ac:dyDescent="0.25">
      <c r="X742" s="451" t="s">
        <v>60</v>
      </c>
      <c r="Y742" s="452" t="s">
        <v>413</v>
      </c>
      <c r="Z742" s="453" t="s">
        <v>8</v>
      </c>
      <c r="AA742" s="453" t="s">
        <v>30</v>
      </c>
      <c r="AB742" s="542" t="s">
        <v>473</v>
      </c>
      <c r="AC742" s="482">
        <v>600</v>
      </c>
      <c r="AD742" s="669">
        <f t="shared" si="225"/>
        <v>1865.9</v>
      </c>
      <c r="AE742" s="633">
        <f t="shared" si="225"/>
        <v>1865.9</v>
      </c>
      <c r="AF742" s="643">
        <f t="shared" si="225"/>
        <v>1865.9</v>
      </c>
    </row>
    <row r="743" spans="24:32" s="3" customFormat="1" x14ac:dyDescent="0.25">
      <c r="X743" s="451" t="s">
        <v>61</v>
      </c>
      <c r="Y743" s="452" t="s">
        <v>413</v>
      </c>
      <c r="Z743" s="453" t="s">
        <v>8</v>
      </c>
      <c r="AA743" s="453" t="s">
        <v>30</v>
      </c>
      <c r="AB743" s="542" t="s">
        <v>473</v>
      </c>
      <c r="AC743" s="482">
        <v>610</v>
      </c>
      <c r="AD743" s="669">
        <v>1865.9</v>
      </c>
      <c r="AE743" s="633">
        <v>1865.9</v>
      </c>
      <c r="AF743" s="643">
        <v>1865.9</v>
      </c>
    </row>
    <row r="744" spans="24:32" s="3" customFormat="1" ht="63" x14ac:dyDescent="0.25">
      <c r="X744" s="451" t="s">
        <v>624</v>
      </c>
      <c r="Y744" s="452" t="s">
        <v>413</v>
      </c>
      <c r="Z744" s="453" t="s">
        <v>8</v>
      </c>
      <c r="AA744" s="453" t="s">
        <v>30</v>
      </c>
      <c r="AB744" s="542" t="s">
        <v>622</v>
      </c>
      <c r="AC744" s="473"/>
      <c r="AD744" s="669">
        <f t="shared" ref="AD744:AF745" si="226">AD745</f>
        <v>3514</v>
      </c>
      <c r="AE744" s="633">
        <f t="shared" si="226"/>
        <v>3372</v>
      </c>
      <c r="AF744" s="643">
        <f t="shared" si="226"/>
        <v>3372</v>
      </c>
    </row>
    <row r="745" spans="24:32" s="3" customFormat="1" ht="31.5" x14ac:dyDescent="0.25">
      <c r="X745" s="451" t="s">
        <v>60</v>
      </c>
      <c r="Y745" s="452" t="s">
        <v>413</v>
      </c>
      <c r="Z745" s="453" t="s">
        <v>8</v>
      </c>
      <c r="AA745" s="453" t="s">
        <v>30</v>
      </c>
      <c r="AB745" s="542" t="s">
        <v>622</v>
      </c>
      <c r="AC745" s="482">
        <v>600</v>
      </c>
      <c r="AD745" s="669">
        <f t="shared" si="226"/>
        <v>3514</v>
      </c>
      <c r="AE745" s="633">
        <f t="shared" si="226"/>
        <v>3372</v>
      </c>
      <c r="AF745" s="643">
        <f t="shared" si="226"/>
        <v>3372</v>
      </c>
    </row>
    <row r="746" spans="24:32" s="3" customFormat="1" x14ac:dyDescent="0.25">
      <c r="X746" s="451" t="s">
        <v>61</v>
      </c>
      <c r="Y746" s="452" t="s">
        <v>413</v>
      </c>
      <c r="Z746" s="453" t="s">
        <v>8</v>
      </c>
      <c r="AA746" s="453" t="s">
        <v>30</v>
      </c>
      <c r="AB746" s="542" t="s">
        <v>622</v>
      </c>
      <c r="AC746" s="482">
        <v>610</v>
      </c>
      <c r="AD746" s="669">
        <f>3372+142</f>
        <v>3514</v>
      </c>
      <c r="AE746" s="633">
        <v>3372</v>
      </c>
      <c r="AF746" s="643">
        <v>3372</v>
      </c>
    </row>
    <row r="747" spans="24:32" s="3" customFormat="1" x14ac:dyDescent="0.25">
      <c r="X747" s="523" t="s">
        <v>740</v>
      </c>
      <c r="Y747" s="452" t="s">
        <v>413</v>
      </c>
      <c r="Z747" s="515" t="s">
        <v>8</v>
      </c>
      <c r="AA747" s="515" t="s">
        <v>30</v>
      </c>
      <c r="AB747" s="409" t="s">
        <v>741</v>
      </c>
      <c r="AC747" s="575"/>
      <c r="AD747" s="669">
        <f>AD748</f>
        <v>2483.4</v>
      </c>
      <c r="AE747" s="633">
        <f t="shared" ref="AE747:AF747" si="227">AE748</f>
        <v>0</v>
      </c>
      <c r="AF747" s="643">
        <f t="shared" si="227"/>
        <v>0</v>
      </c>
    </row>
    <row r="748" spans="24:32" s="3" customFormat="1" ht="31.5" x14ac:dyDescent="0.25">
      <c r="X748" s="523" t="s">
        <v>742</v>
      </c>
      <c r="Y748" s="452" t="s">
        <v>413</v>
      </c>
      <c r="Z748" s="515" t="s">
        <v>8</v>
      </c>
      <c r="AA748" s="515" t="s">
        <v>30</v>
      </c>
      <c r="AB748" s="409" t="s">
        <v>743</v>
      </c>
      <c r="AC748" s="575"/>
      <c r="AD748" s="669">
        <f>AD749</f>
        <v>2483.4</v>
      </c>
      <c r="AE748" s="633">
        <f t="shared" ref="AE748:AF748" si="228">AE749</f>
        <v>0</v>
      </c>
      <c r="AF748" s="643">
        <f t="shared" si="228"/>
        <v>0</v>
      </c>
    </row>
    <row r="749" spans="24:32" s="3" customFormat="1" x14ac:dyDescent="0.25">
      <c r="X749" s="451" t="s">
        <v>120</v>
      </c>
      <c r="Y749" s="452" t="s">
        <v>413</v>
      </c>
      <c r="Z749" s="515" t="s">
        <v>8</v>
      </c>
      <c r="AA749" s="515" t="s">
        <v>30</v>
      </c>
      <c r="AB749" s="409" t="s">
        <v>743</v>
      </c>
      <c r="AC749" s="575">
        <v>200</v>
      </c>
      <c r="AD749" s="669">
        <f>AD750</f>
        <v>2483.4</v>
      </c>
      <c r="AE749" s="633">
        <f t="shared" ref="AE749:AF749" si="229">AE750</f>
        <v>0</v>
      </c>
      <c r="AF749" s="643">
        <f t="shared" si="229"/>
        <v>0</v>
      </c>
    </row>
    <row r="750" spans="24:32" s="3" customFormat="1" ht="24" customHeight="1" x14ac:dyDescent="0.25">
      <c r="X750" s="451" t="s">
        <v>52</v>
      </c>
      <c r="Y750" s="452" t="s">
        <v>413</v>
      </c>
      <c r="Z750" s="515" t="s">
        <v>8</v>
      </c>
      <c r="AA750" s="515" t="s">
        <v>30</v>
      </c>
      <c r="AB750" s="409" t="s">
        <v>743</v>
      </c>
      <c r="AC750" s="575">
        <v>240</v>
      </c>
      <c r="AD750" s="669">
        <f>1970.9+512.5</f>
        <v>2483.4</v>
      </c>
      <c r="AE750" s="633">
        <v>0</v>
      </c>
      <c r="AF750" s="643">
        <v>0</v>
      </c>
    </row>
    <row r="751" spans="24:32" s="3" customFormat="1" x14ac:dyDescent="0.25">
      <c r="X751" s="523" t="s">
        <v>657</v>
      </c>
      <c r="Y751" s="452" t="s">
        <v>413</v>
      </c>
      <c r="Z751" s="515" t="s">
        <v>8</v>
      </c>
      <c r="AA751" s="515" t="s">
        <v>30</v>
      </c>
      <c r="AB751" s="409" t="s">
        <v>658</v>
      </c>
      <c r="AC751" s="575"/>
      <c r="AD751" s="669">
        <f>AD758+AD755+AD752</f>
        <v>40116</v>
      </c>
      <c r="AE751" s="633">
        <f t="shared" ref="AE751:AF751" si="230">AE758+AE755+AE752</f>
        <v>40141.5</v>
      </c>
      <c r="AF751" s="643">
        <f t="shared" si="230"/>
        <v>40172.5</v>
      </c>
    </row>
    <row r="752" spans="24:32" s="3" customFormat="1" ht="108.75" customHeight="1" x14ac:dyDescent="0.25">
      <c r="X752" s="523" t="s">
        <v>744</v>
      </c>
      <c r="Y752" s="452" t="s">
        <v>413</v>
      </c>
      <c r="Z752" s="515" t="s">
        <v>8</v>
      </c>
      <c r="AA752" s="515" t="s">
        <v>30</v>
      </c>
      <c r="AB752" s="409" t="s">
        <v>745</v>
      </c>
      <c r="AC752" s="575"/>
      <c r="AD752" s="669">
        <f>AD753</f>
        <v>312.5</v>
      </c>
      <c r="AE752" s="633">
        <f t="shared" ref="AE752:AF753" si="231">AE753</f>
        <v>312.5</v>
      </c>
      <c r="AF752" s="643">
        <f t="shared" si="231"/>
        <v>312.5</v>
      </c>
    </row>
    <row r="753" spans="1:35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23" t="s">
        <v>60</v>
      </c>
      <c r="Y753" s="452" t="s">
        <v>413</v>
      </c>
      <c r="Z753" s="515" t="s">
        <v>8</v>
      </c>
      <c r="AA753" s="515" t="s">
        <v>30</v>
      </c>
      <c r="AB753" s="409" t="s">
        <v>745</v>
      </c>
      <c r="AC753" s="575">
        <v>600</v>
      </c>
      <c r="AD753" s="669">
        <f>AD754</f>
        <v>312.5</v>
      </c>
      <c r="AE753" s="633">
        <f t="shared" si="231"/>
        <v>312.5</v>
      </c>
      <c r="AF753" s="643">
        <f t="shared" si="231"/>
        <v>312.5</v>
      </c>
      <c r="AG753" s="3"/>
      <c r="AH753" s="3"/>
    </row>
    <row r="754" spans="1:3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23" t="s">
        <v>61</v>
      </c>
      <c r="Y754" s="452" t="s">
        <v>413</v>
      </c>
      <c r="Z754" s="515" t="s">
        <v>8</v>
      </c>
      <c r="AA754" s="515" t="s">
        <v>30</v>
      </c>
      <c r="AB754" s="409" t="s">
        <v>745</v>
      </c>
      <c r="AC754" s="575">
        <v>610</v>
      </c>
      <c r="AD754" s="669">
        <v>312.5</v>
      </c>
      <c r="AE754" s="633">
        <v>312.5</v>
      </c>
      <c r="AF754" s="643">
        <v>312.5</v>
      </c>
      <c r="AG754" s="3"/>
      <c r="AH754" s="3"/>
    </row>
    <row r="755" spans="1:35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23" t="s">
        <v>662</v>
      </c>
      <c r="Y755" s="452" t="s">
        <v>413</v>
      </c>
      <c r="Z755" s="515" t="s">
        <v>8</v>
      </c>
      <c r="AA755" s="515" t="s">
        <v>30</v>
      </c>
      <c r="AB755" s="409" t="s">
        <v>663</v>
      </c>
      <c r="AC755" s="575"/>
      <c r="AD755" s="669">
        <f>AD756</f>
        <v>1680.5</v>
      </c>
      <c r="AE755" s="633">
        <f t="shared" ref="AE755:AF756" si="232">AE756</f>
        <v>1706</v>
      </c>
      <c r="AF755" s="643">
        <f t="shared" si="232"/>
        <v>1737</v>
      </c>
      <c r="AG755" s="3"/>
      <c r="AH755" s="3"/>
    </row>
    <row r="756" spans="1:35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60</v>
      </c>
      <c r="Y756" s="452" t="s">
        <v>413</v>
      </c>
      <c r="Z756" s="515" t="s">
        <v>8</v>
      </c>
      <c r="AA756" s="515" t="s">
        <v>30</v>
      </c>
      <c r="AB756" s="409" t="s">
        <v>663</v>
      </c>
      <c r="AC756" s="575">
        <v>600</v>
      </c>
      <c r="AD756" s="669">
        <f>AD757</f>
        <v>1680.5</v>
      </c>
      <c r="AE756" s="633">
        <f t="shared" si="232"/>
        <v>1706</v>
      </c>
      <c r="AF756" s="643">
        <f t="shared" si="232"/>
        <v>1737</v>
      </c>
      <c r="AG756" s="3"/>
      <c r="AH756" s="3"/>
    </row>
    <row r="757" spans="1:3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61</v>
      </c>
      <c r="Y757" s="452" t="s">
        <v>413</v>
      </c>
      <c r="Z757" s="515" t="s">
        <v>8</v>
      </c>
      <c r="AA757" s="515" t="s">
        <v>30</v>
      </c>
      <c r="AB757" s="409" t="s">
        <v>663</v>
      </c>
      <c r="AC757" s="575">
        <v>610</v>
      </c>
      <c r="AD757" s="669">
        <f>1681-0.5</f>
        <v>1680.5</v>
      </c>
      <c r="AE757" s="633">
        <v>1706</v>
      </c>
      <c r="AF757" s="643">
        <v>1737</v>
      </c>
      <c r="AG757" s="3"/>
      <c r="AH757" s="3"/>
    </row>
    <row r="758" spans="1:35" ht="78.7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3" t="s">
        <v>659</v>
      </c>
      <c r="Y758" s="452" t="s">
        <v>413</v>
      </c>
      <c r="Z758" s="515" t="s">
        <v>8</v>
      </c>
      <c r="AA758" s="515" t="s">
        <v>30</v>
      </c>
      <c r="AB758" s="409" t="s">
        <v>660</v>
      </c>
      <c r="AC758" s="575"/>
      <c r="AD758" s="669">
        <f>AD759</f>
        <v>38123</v>
      </c>
      <c r="AE758" s="633">
        <f t="shared" ref="AE758:AF758" si="233">AE759</f>
        <v>38123</v>
      </c>
      <c r="AF758" s="643">
        <f t="shared" si="233"/>
        <v>38123</v>
      </c>
      <c r="AG758" s="3"/>
      <c r="AH758" s="3"/>
    </row>
    <row r="759" spans="1:35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23" t="s">
        <v>60</v>
      </c>
      <c r="Y759" s="452" t="s">
        <v>413</v>
      </c>
      <c r="Z759" s="515" t="s">
        <v>8</v>
      </c>
      <c r="AA759" s="515" t="s">
        <v>30</v>
      </c>
      <c r="AB759" s="409" t="s">
        <v>660</v>
      </c>
      <c r="AC759" s="575">
        <v>600</v>
      </c>
      <c r="AD759" s="669">
        <f>AD760</f>
        <v>38123</v>
      </c>
      <c r="AE759" s="633">
        <f t="shared" ref="AE759:AF759" si="234">AE760</f>
        <v>38123</v>
      </c>
      <c r="AF759" s="643">
        <f t="shared" si="234"/>
        <v>38123</v>
      </c>
      <c r="AG759" s="3"/>
      <c r="AH759" s="3"/>
    </row>
    <row r="760" spans="1:3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23" t="s">
        <v>61</v>
      </c>
      <c r="Y760" s="452" t="s">
        <v>413</v>
      </c>
      <c r="Z760" s="515" t="s">
        <v>8</v>
      </c>
      <c r="AA760" s="515" t="s">
        <v>30</v>
      </c>
      <c r="AB760" s="409" t="s">
        <v>660</v>
      </c>
      <c r="AC760" s="575">
        <v>610</v>
      </c>
      <c r="AD760" s="669">
        <v>38123</v>
      </c>
      <c r="AE760" s="633">
        <v>38123</v>
      </c>
      <c r="AF760" s="643">
        <v>38123</v>
      </c>
      <c r="AG760" s="3"/>
      <c r="AH760" s="3"/>
    </row>
    <row r="761" spans="1:35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271" t="s">
        <v>298</v>
      </c>
      <c r="Y761" s="452" t="s">
        <v>413</v>
      </c>
      <c r="Z761" s="515" t="s">
        <v>8</v>
      </c>
      <c r="AA761" s="515" t="s">
        <v>30</v>
      </c>
      <c r="AB761" s="156" t="s">
        <v>132</v>
      </c>
      <c r="AC761" s="575"/>
      <c r="AD761" s="669">
        <f>AD762</f>
        <v>6000</v>
      </c>
      <c r="AE761" s="669">
        <f t="shared" ref="AE761:AF761" si="235">AE762</f>
        <v>0</v>
      </c>
      <c r="AF761" s="669">
        <f t="shared" si="235"/>
        <v>0</v>
      </c>
      <c r="AG761" s="3"/>
      <c r="AH761" s="3"/>
    </row>
    <row r="762" spans="1:3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23" t="s">
        <v>851</v>
      </c>
      <c r="Y762" s="452" t="s">
        <v>413</v>
      </c>
      <c r="Z762" s="515" t="s">
        <v>8</v>
      </c>
      <c r="AA762" s="515" t="s">
        <v>30</v>
      </c>
      <c r="AB762" s="156" t="s">
        <v>852</v>
      </c>
      <c r="AC762" s="575"/>
      <c r="AD762" s="669">
        <f>AD763</f>
        <v>6000</v>
      </c>
      <c r="AE762" s="669">
        <f t="shared" ref="AE762:AF762" si="236">AE763</f>
        <v>0</v>
      </c>
      <c r="AF762" s="669">
        <f t="shared" si="236"/>
        <v>0</v>
      </c>
      <c r="AG762" s="3"/>
      <c r="AH762" s="3"/>
    </row>
    <row r="763" spans="1:3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23" t="s">
        <v>854</v>
      </c>
      <c r="Y763" s="452" t="s">
        <v>413</v>
      </c>
      <c r="Z763" s="515" t="s">
        <v>8</v>
      </c>
      <c r="AA763" s="515" t="s">
        <v>30</v>
      </c>
      <c r="AB763" s="156" t="s">
        <v>853</v>
      </c>
      <c r="AC763" s="575"/>
      <c r="AD763" s="669">
        <f>AD765</f>
        <v>6000</v>
      </c>
      <c r="AE763" s="669">
        <f t="shared" ref="AE763:AF763" si="237">AE765</f>
        <v>0</v>
      </c>
      <c r="AF763" s="669">
        <f t="shared" si="237"/>
        <v>0</v>
      </c>
      <c r="AG763" s="3"/>
      <c r="AH763" s="3"/>
    </row>
    <row r="764" spans="1:35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23" t="s">
        <v>857</v>
      </c>
      <c r="Y764" s="452" t="s">
        <v>413</v>
      </c>
      <c r="Z764" s="515" t="s">
        <v>8</v>
      </c>
      <c r="AA764" s="515" t="s">
        <v>30</v>
      </c>
      <c r="AB764" s="156" t="s">
        <v>858</v>
      </c>
      <c r="AC764" s="575"/>
      <c r="AD764" s="669">
        <f>AD765</f>
        <v>6000</v>
      </c>
      <c r="AE764" s="669">
        <f t="shared" ref="AE764:AF764" si="238">AE765</f>
        <v>0</v>
      </c>
      <c r="AF764" s="669">
        <f t="shared" si="238"/>
        <v>0</v>
      </c>
      <c r="AG764" s="3"/>
      <c r="AH764" s="3"/>
    </row>
    <row r="765" spans="1:35" ht="69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23" t="s">
        <v>855</v>
      </c>
      <c r="Y765" s="452" t="s">
        <v>413</v>
      </c>
      <c r="Z765" s="515" t="s">
        <v>8</v>
      </c>
      <c r="AA765" s="515" t="s">
        <v>30</v>
      </c>
      <c r="AB765" s="156" t="s">
        <v>856</v>
      </c>
      <c r="AC765" s="575"/>
      <c r="AD765" s="669">
        <f>AD766</f>
        <v>6000</v>
      </c>
      <c r="AE765" s="669">
        <f t="shared" ref="AE765:AF765" si="239">AE766</f>
        <v>0</v>
      </c>
      <c r="AF765" s="669">
        <f t="shared" si="239"/>
        <v>0</v>
      </c>
      <c r="AG765" s="3"/>
      <c r="AH765" s="3"/>
    </row>
    <row r="766" spans="1:35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23" t="s">
        <v>60</v>
      </c>
      <c r="Y766" s="452" t="s">
        <v>413</v>
      </c>
      <c r="Z766" s="515" t="s">
        <v>8</v>
      </c>
      <c r="AA766" s="515" t="s">
        <v>30</v>
      </c>
      <c r="AB766" s="156" t="s">
        <v>856</v>
      </c>
      <c r="AC766" s="575">
        <v>600</v>
      </c>
      <c r="AD766" s="669">
        <f>AD767</f>
        <v>6000</v>
      </c>
      <c r="AE766" s="669">
        <f t="shared" ref="AE766:AF766" si="240">AE767</f>
        <v>0</v>
      </c>
      <c r="AF766" s="669">
        <f t="shared" si="240"/>
        <v>0</v>
      </c>
      <c r="AG766" s="3"/>
      <c r="AH766" s="3"/>
    </row>
    <row r="767" spans="1:3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23" t="s">
        <v>61</v>
      </c>
      <c r="Y767" s="452" t="s">
        <v>413</v>
      </c>
      <c r="Z767" s="515" t="s">
        <v>8</v>
      </c>
      <c r="AA767" s="515" t="s">
        <v>30</v>
      </c>
      <c r="AB767" s="156" t="s">
        <v>856</v>
      </c>
      <c r="AC767" s="575">
        <v>610</v>
      </c>
      <c r="AD767" s="669">
        <f>2000+4000</f>
        <v>6000</v>
      </c>
      <c r="AE767" s="633">
        <v>0</v>
      </c>
      <c r="AF767" s="643">
        <v>0</v>
      </c>
      <c r="AG767" s="3"/>
      <c r="AH767" s="3"/>
    </row>
    <row r="768" spans="1:3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134</v>
      </c>
      <c r="Y768" s="452" t="s">
        <v>413</v>
      </c>
      <c r="Z768" s="477" t="s">
        <v>8</v>
      </c>
      <c r="AA768" s="453" t="s">
        <v>7</v>
      </c>
      <c r="AB768" s="541"/>
      <c r="AC768" s="454"/>
      <c r="AD768" s="669">
        <f>AD769</f>
        <v>78326.399999999994</v>
      </c>
      <c r="AE768" s="633">
        <f t="shared" ref="AE768:AF768" si="241">AE769</f>
        <v>76082.2</v>
      </c>
      <c r="AF768" s="643">
        <f t="shared" si="241"/>
        <v>78468.3</v>
      </c>
      <c r="AI768" s="18"/>
    </row>
    <row r="769" spans="1:32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9" t="s">
        <v>262</v>
      </c>
      <c r="Y769" s="452" t="s">
        <v>413</v>
      </c>
      <c r="Z769" s="477" t="s">
        <v>8</v>
      </c>
      <c r="AA769" s="453" t="s">
        <v>7</v>
      </c>
      <c r="AB769" s="541" t="s">
        <v>100</v>
      </c>
      <c r="AC769" s="454"/>
      <c r="AD769" s="669">
        <f>AD770+AD778</f>
        <v>78326.399999999994</v>
      </c>
      <c r="AE769" s="633">
        <f>AE770+AE778</f>
        <v>76082.2</v>
      </c>
      <c r="AF769" s="643">
        <f>AF770+AF778</f>
        <v>78468.3</v>
      </c>
    </row>
    <row r="770" spans="1:32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9" t="s">
        <v>265</v>
      </c>
      <c r="Y770" s="452" t="s">
        <v>413</v>
      </c>
      <c r="Z770" s="477" t="s">
        <v>8</v>
      </c>
      <c r="AA770" s="453" t="s">
        <v>7</v>
      </c>
      <c r="AB770" s="542" t="s">
        <v>117</v>
      </c>
      <c r="AC770" s="454"/>
      <c r="AD770" s="669">
        <f>AD771</f>
        <v>5457</v>
      </c>
      <c r="AE770" s="633">
        <f>AE771</f>
        <v>5026</v>
      </c>
      <c r="AF770" s="643">
        <f>AF771</f>
        <v>5026</v>
      </c>
    </row>
    <row r="771" spans="1:32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9" t="s">
        <v>266</v>
      </c>
      <c r="Y771" s="452" t="s">
        <v>413</v>
      </c>
      <c r="Z771" s="453" t="s">
        <v>8</v>
      </c>
      <c r="AA771" s="453" t="s">
        <v>7</v>
      </c>
      <c r="AB771" s="542" t="s">
        <v>446</v>
      </c>
      <c r="AC771" s="454"/>
      <c r="AD771" s="669">
        <f>AD772+AD775</f>
        <v>5457</v>
      </c>
      <c r="AE771" s="669">
        <f t="shared" ref="AE771:AF771" si="242">AE772+AE775</f>
        <v>5026</v>
      </c>
      <c r="AF771" s="669">
        <f t="shared" si="242"/>
        <v>5026</v>
      </c>
    </row>
    <row r="772" spans="1:32" ht="126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59" t="s">
        <v>510</v>
      </c>
      <c r="Y772" s="452" t="s">
        <v>413</v>
      </c>
      <c r="Z772" s="453" t="s">
        <v>8</v>
      </c>
      <c r="AA772" s="453" t="s">
        <v>7</v>
      </c>
      <c r="AB772" s="541" t="s">
        <v>470</v>
      </c>
      <c r="AC772" s="454"/>
      <c r="AD772" s="669">
        <f>AD773</f>
        <v>5249</v>
      </c>
      <c r="AE772" s="633">
        <f t="shared" ref="AE772:AF773" si="243">AE773</f>
        <v>5026</v>
      </c>
      <c r="AF772" s="643">
        <f t="shared" si="243"/>
        <v>5026</v>
      </c>
    </row>
    <row r="773" spans="1:32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1" t="s">
        <v>60</v>
      </c>
      <c r="Y773" s="467" t="s">
        <v>413</v>
      </c>
      <c r="Z773" s="453" t="s">
        <v>8</v>
      </c>
      <c r="AA773" s="453" t="s">
        <v>7</v>
      </c>
      <c r="AB773" s="541" t="s">
        <v>470</v>
      </c>
      <c r="AC773" s="454">
        <v>600</v>
      </c>
      <c r="AD773" s="669">
        <f>AD774</f>
        <v>5249</v>
      </c>
      <c r="AE773" s="633">
        <f t="shared" si="243"/>
        <v>5026</v>
      </c>
      <c r="AF773" s="643">
        <f t="shared" si="243"/>
        <v>5026</v>
      </c>
    </row>
    <row r="774" spans="1:32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1" t="s">
        <v>61</v>
      </c>
      <c r="Y774" s="467" t="s">
        <v>413</v>
      </c>
      <c r="Z774" s="453" t="s">
        <v>8</v>
      </c>
      <c r="AA774" s="453" t="s">
        <v>7</v>
      </c>
      <c r="AB774" s="541" t="s">
        <v>470</v>
      </c>
      <c r="AC774" s="454">
        <v>610</v>
      </c>
      <c r="AD774" s="669">
        <f>3758+1086+182+223</f>
        <v>5249</v>
      </c>
      <c r="AE774" s="633">
        <f>3758+1086+182</f>
        <v>5026</v>
      </c>
      <c r="AF774" s="643">
        <f>3758+1086+182</f>
        <v>5026</v>
      </c>
    </row>
    <row r="775" spans="1:32" ht="39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777</v>
      </c>
      <c r="Y775" s="452" t="s">
        <v>413</v>
      </c>
      <c r="Z775" s="453" t="s">
        <v>8</v>
      </c>
      <c r="AA775" s="453" t="s">
        <v>7</v>
      </c>
      <c r="AB775" s="541" t="s">
        <v>661</v>
      </c>
      <c r="AC775" s="454"/>
      <c r="AD775" s="669">
        <f>AD776</f>
        <v>208</v>
      </c>
      <c r="AE775" s="633">
        <f t="shared" ref="AE775:AF776" si="244">AE776</f>
        <v>0</v>
      </c>
      <c r="AF775" s="643">
        <f t="shared" si="244"/>
        <v>0</v>
      </c>
    </row>
    <row r="776" spans="1:32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60</v>
      </c>
      <c r="Y776" s="452" t="s">
        <v>413</v>
      </c>
      <c r="Z776" s="453" t="s">
        <v>8</v>
      </c>
      <c r="AA776" s="453" t="s">
        <v>7</v>
      </c>
      <c r="AB776" s="541" t="s">
        <v>661</v>
      </c>
      <c r="AC776" s="454">
        <v>600</v>
      </c>
      <c r="AD776" s="669">
        <f>AD777</f>
        <v>208</v>
      </c>
      <c r="AE776" s="633">
        <f t="shared" si="244"/>
        <v>0</v>
      </c>
      <c r="AF776" s="643">
        <f t="shared" si="244"/>
        <v>0</v>
      </c>
    </row>
    <row r="777" spans="1:32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61</v>
      </c>
      <c r="Y777" s="452" t="s">
        <v>413</v>
      </c>
      <c r="Z777" s="453" t="s">
        <v>8</v>
      </c>
      <c r="AA777" s="453" t="s">
        <v>7</v>
      </c>
      <c r="AB777" s="541" t="s">
        <v>661</v>
      </c>
      <c r="AC777" s="454">
        <v>610</v>
      </c>
      <c r="AD777" s="669">
        <v>208</v>
      </c>
      <c r="AE777" s="633">
        <v>0</v>
      </c>
      <c r="AF777" s="643">
        <v>0</v>
      </c>
    </row>
    <row r="778" spans="1:32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9" t="s">
        <v>474</v>
      </c>
      <c r="Y778" s="452">
        <v>901</v>
      </c>
      <c r="Z778" s="477" t="s">
        <v>8</v>
      </c>
      <c r="AA778" s="453" t="s">
        <v>7</v>
      </c>
      <c r="AB778" s="542" t="s">
        <v>101</v>
      </c>
      <c r="AC778" s="568"/>
      <c r="AD778" s="671">
        <f>AD779+AD787</f>
        <v>72869.399999999994</v>
      </c>
      <c r="AE778" s="635">
        <f>AE779+AE787</f>
        <v>71056.2</v>
      </c>
      <c r="AF778" s="644">
        <f>AF779+AF787</f>
        <v>73442.3</v>
      </c>
    </row>
    <row r="779" spans="1:32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59" t="s">
        <v>511</v>
      </c>
      <c r="Y779" s="452">
        <v>901</v>
      </c>
      <c r="Z779" s="477" t="s">
        <v>8</v>
      </c>
      <c r="AA779" s="453" t="s">
        <v>7</v>
      </c>
      <c r="AB779" s="542" t="s">
        <v>476</v>
      </c>
      <c r="AC779" s="568"/>
      <c r="AD779" s="671">
        <f>AD780</f>
        <v>54353.899999999994</v>
      </c>
      <c r="AE779" s="635">
        <f t="shared" ref="AE779:AF779" si="245">AE780</f>
        <v>38974.5</v>
      </c>
      <c r="AF779" s="644">
        <f t="shared" si="245"/>
        <v>39288.600000000006</v>
      </c>
    </row>
    <row r="780" spans="1:32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9" t="s">
        <v>268</v>
      </c>
      <c r="Y780" s="452">
        <v>901</v>
      </c>
      <c r="Z780" s="477" t="s">
        <v>8</v>
      </c>
      <c r="AA780" s="453" t="s">
        <v>7</v>
      </c>
      <c r="AB780" s="542" t="s">
        <v>477</v>
      </c>
      <c r="AC780" s="576"/>
      <c r="AD780" s="675">
        <f>AD781+AD784</f>
        <v>54353.899999999994</v>
      </c>
      <c r="AE780" s="675">
        <f t="shared" ref="AE780:AF780" si="246">AE781+AE784</f>
        <v>38974.5</v>
      </c>
      <c r="AF780" s="675">
        <f t="shared" si="246"/>
        <v>39288.600000000006</v>
      </c>
    </row>
    <row r="781" spans="1:32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1" t="s">
        <v>331</v>
      </c>
      <c r="Y781" s="452">
        <v>901</v>
      </c>
      <c r="Z781" s="477" t="s">
        <v>8</v>
      </c>
      <c r="AA781" s="453" t="s">
        <v>7</v>
      </c>
      <c r="AB781" s="542" t="s">
        <v>478</v>
      </c>
      <c r="AC781" s="577"/>
      <c r="AD781" s="671">
        <f t="shared" ref="AD781:AF782" si="247">AD782</f>
        <v>54263.899999999994</v>
      </c>
      <c r="AE781" s="635">
        <f t="shared" si="247"/>
        <v>38974.5</v>
      </c>
      <c r="AF781" s="644">
        <f t="shared" si="247"/>
        <v>39288.600000000006</v>
      </c>
    </row>
    <row r="782" spans="1:32" ht="31.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1" t="s">
        <v>60</v>
      </c>
      <c r="Y782" s="452">
        <v>901</v>
      </c>
      <c r="Z782" s="477" t="s">
        <v>8</v>
      </c>
      <c r="AA782" s="453" t="s">
        <v>7</v>
      </c>
      <c r="AB782" s="542" t="s">
        <v>478</v>
      </c>
      <c r="AC782" s="454">
        <v>600</v>
      </c>
      <c r="AD782" s="671">
        <f t="shared" si="247"/>
        <v>54263.899999999994</v>
      </c>
      <c r="AE782" s="635">
        <f t="shared" si="247"/>
        <v>38974.5</v>
      </c>
      <c r="AF782" s="644">
        <f t="shared" si="247"/>
        <v>39288.600000000006</v>
      </c>
    </row>
    <row r="783" spans="1:32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1" t="s">
        <v>61</v>
      </c>
      <c r="Y783" s="452">
        <v>901</v>
      </c>
      <c r="Z783" s="477" t="s">
        <v>8</v>
      </c>
      <c r="AA783" s="453" t="s">
        <v>7</v>
      </c>
      <c r="AB783" s="542" t="s">
        <v>478</v>
      </c>
      <c r="AC783" s="454">
        <v>610</v>
      </c>
      <c r="AD783" s="669">
        <f>58226.1-19462.2+15500</f>
        <v>54263.899999999994</v>
      </c>
      <c r="AE783" s="633">
        <f>58446.7-19472.2</f>
        <v>38974.5</v>
      </c>
      <c r="AF783" s="643">
        <f>58691.4-19402.8</f>
        <v>39288.600000000006</v>
      </c>
    </row>
    <row r="784" spans="1:32" ht="34.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51" t="s">
        <v>861</v>
      </c>
      <c r="Y784" s="452">
        <v>901</v>
      </c>
      <c r="Z784" s="477" t="s">
        <v>8</v>
      </c>
      <c r="AA784" s="453" t="s">
        <v>7</v>
      </c>
      <c r="AB784" s="542" t="s">
        <v>862</v>
      </c>
      <c r="AC784" s="577"/>
      <c r="AD784" s="669">
        <f>AD785</f>
        <v>90</v>
      </c>
      <c r="AE784" s="669">
        <f t="shared" ref="AE784:AF785" si="248">AE785</f>
        <v>0</v>
      </c>
      <c r="AF784" s="669">
        <f t="shared" si="248"/>
        <v>0</v>
      </c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60</v>
      </c>
      <c r="Y785" s="452">
        <v>901</v>
      </c>
      <c r="Z785" s="477" t="s">
        <v>8</v>
      </c>
      <c r="AA785" s="453" t="s">
        <v>7</v>
      </c>
      <c r="AB785" s="542" t="s">
        <v>862</v>
      </c>
      <c r="AC785" s="454">
        <v>600</v>
      </c>
      <c r="AD785" s="669">
        <f>AD786</f>
        <v>90</v>
      </c>
      <c r="AE785" s="669">
        <f t="shared" si="248"/>
        <v>0</v>
      </c>
      <c r="AF785" s="669">
        <f t="shared" si="248"/>
        <v>0</v>
      </c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61</v>
      </c>
      <c r="Y786" s="452">
        <v>901</v>
      </c>
      <c r="Z786" s="477" t="s">
        <v>8</v>
      </c>
      <c r="AA786" s="453" t="s">
        <v>7</v>
      </c>
      <c r="AB786" s="542" t="s">
        <v>862</v>
      </c>
      <c r="AC786" s="454">
        <v>610</v>
      </c>
      <c r="AD786" s="669">
        <f>90</f>
        <v>90</v>
      </c>
      <c r="AE786" s="633">
        <v>0</v>
      </c>
      <c r="AF786" s="643">
        <v>0</v>
      </c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9" t="s">
        <v>479</v>
      </c>
      <c r="Y787" s="452">
        <v>901</v>
      </c>
      <c r="Z787" s="453" t="s">
        <v>8</v>
      </c>
      <c r="AA787" s="453" t="s">
        <v>7</v>
      </c>
      <c r="AB787" s="542" t="s">
        <v>480</v>
      </c>
      <c r="AC787" s="482"/>
      <c r="AD787" s="671">
        <f>AD788</f>
        <v>18515.5</v>
      </c>
      <c r="AE787" s="635">
        <f>AE788</f>
        <v>32081.7</v>
      </c>
      <c r="AF787" s="644">
        <f>AF788</f>
        <v>34153.699999999997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659" t="s">
        <v>156</v>
      </c>
      <c r="Y788" s="452">
        <v>901</v>
      </c>
      <c r="Z788" s="477" t="s">
        <v>8</v>
      </c>
      <c r="AA788" s="453" t="s">
        <v>7</v>
      </c>
      <c r="AB788" s="542" t="s">
        <v>481</v>
      </c>
      <c r="AC788" s="454"/>
      <c r="AD788" s="669">
        <f>AD789</f>
        <v>18515.5</v>
      </c>
      <c r="AE788" s="669">
        <f t="shared" ref="AE788:AF788" si="249">AE789</f>
        <v>32081.7</v>
      </c>
      <c r="AF788" s="669">
        <f t="shared" si="249"/>
        <v>34153.699999999997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1" t="s">
        <v>60</v>
      </c>
      <c r="Y789" s="452">
        <v>901</v>
      </c>
      <c r="Z789" s="477" t="s">
        <v>8</v>
      </c>
      <c r="AA789" s="453" t="s">
        <v>7</v>
      </c>
      <c r="AB789" s="542" t="s">
        <v>481</v>
      </c>
      <c r="AC789" s="454">
        <v>600</v>
      </c>
      <c r="AD789" s="669">
        <f>AD790+AD791+AD792</f>
        <v>18515.5</v>
      </c>
      <c r="AE789" s="633">
        <f>AE790+AE791+AE792</f>
        <v>32081.7</v>
      </c>
      <c r="AF789" s="643">
        <f>AF790+AF791+AF792</f>
        <v>34153.699999999997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1" t="s">
        <v>61</v>
      </c>
      <c r="Y790" s="452">
        <v>901</v>
      </c>
      <c r="Z790" s="477" t="s">
        <v>8</v>
      </c>
      <c r="AA790" s="453" t="s">
        <v>7</v>
      </c>
      <c r="AB790" s="542" t="s">
        <v>481</v>
      </c>
      <c r="AC790" s="454">
        <v>610</v>
      </c>
      <c r="AD790" s="669">
        <f>629.3+12290.3+17770.2-12817.5+12817.5-15500</f>
        <v>15189.8</v>
      </c>
      <c r="AE790" s="633">
        <f>629.3+12384+17771.3-2037.5</f>
        <v>28747.1</v>
      </c>
      <c r="AF790" s="643">
        <f>629.3+12487.9+17699</f>
        <v>30816.199999999997</v>
      </c>
      <c r="AG790" s="3"/>
      <c r="AH790" s="3"/>
    </row>
    <row r="791" spans="1:34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51" t="s">
        <v>130</v>
      </c>
      <c r="Y791" s="452">
        <v>901</v>
      </c>
      <c r="Z791" s="477" t="s">
        <v>8</v>
      </c>
      <c r="AA791" s="453" t="s">
        <v>7</v>
      </c>
      <c r="AB791" s="542" t="s">
        <v>481</v>
      </c>
      <c r="AC791" s="454">
        <v>620</v>
      </c>
      <c r="AD791" s="669">
        <f>628.7+2068.3</f>
        <v>2697</v>
      </c>
      <c r="AE791" s="633">
        <f>628.7+2077.2</f>
        <v>2705.8999999999996</v>
      </c>
      <c r="AF791" s="643">
        <f>628.7+2080.1</f>
        <v>2708.8</v>
      </c>
      <c r="AG791" s="3"/>
      <c r="AH791" s="3"/>
    </row>
    <row r="792" spans="1:34" ht="47.2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363</v>
      </c>
      <c r="Y792" s="452">
        <v>901</v>
      </c>
      <c r="Z792" s="477" t="s">
        <v>8</v>
      </c>
      <c r="AA792" s="453" t="s">
        <v>7</v>
      </c>
      <c r="AB792" s="542" t="s">
        <v>481</v>
      </c>
      <c r="AC792" s="454">
        <v>630</v>
      </c>
      <c r="AD792" s="669">
        <v>628.70000000000005</v>
      </c>
      <c r="AE792" s="633">
        <v>628.70000000000005</v>
      </c>
      <c r="AF792" s="643">
        <v>628.70000000000005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135</v>
      </c>
      <c r="Y793" s="452">
        <v>901</v>
      </c>
      <c r="Z793" s="453" t="s">
        <v>8</v>
      </c>
      <c r="AA793" s="453" t="s">
        <v>8</v>
      </c>
      <c r="AB793" s="542"/>
      <c r="AC793" s="454"/>
      <c r="AD793" s="669">
        <f t="shared" ref="AD793:AD798" si="250">AD794</f>
        <v>1250.5</v>
      </c>
      <c r="AE793" s="633">
        <f t="shared" ref="AE793:AF798" si="251">AE794</f>
        <v>1250.5</v>
      </c>
      <c r="AF793" s="643">
        <f t="shared" si="251"/>
        <v>1250.5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9" t="s">
        <v>298</v>
      </c>
      <c r="Y794" s="452">
        <v>901</v>
      </c>
      <c r="Z794" s="453" t="s">
        <v>8</v>
      </c>
      <c r="AA794" s="453" t="s">
        <v>8</v>
      </c>
      <c r="AB794" s="542" t="s">
        <v>132</v>
      </c>
      <c r="AC794" s="454"/>
      <c r="AD794" s="669">
        <f>AD795</f>
        <v>1250.5</v>
      </c>
      <c r="AE794" s="669">
        <f t="shared" si="251"/>
        <v>1250.5</v>
      </c>
      <c r="AF794" s="669">
        <f t="shared" si="251"/>
        <v>1250.5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9" t="s">
        <v>307</v>
      </c>
      <c r="Y795" s="452">
        <v>901</v>
      </c>
      <c r="Z795" s="474" t="s">
        <v>8</v>
      </c>
      <c r="AA795" s="474" t="s">
        <v>8</v>
      </c>
      <c r="AB795" s="542" t="s">
        <v>308</v>
      </c>
      <c r="AC795" s="454"/>
      <c r="AD795" s="669">
        <f t="shared" si="250"/>
        <v>1250.5</v>
      </c>
      <c r="AE795" s="633">
        <f t="shared" si="251"/>
        <v>1250.5</v>
      </c>
      <c r="AF795" s="643">
        <f t="shared" si="251"/>
        <v>1250.5</v>
      </c>
      <c r="AG795" s="3"/>
      <c r="AH795" s="3"/>
    </row>
    <row r="796" spans="1:34" ht="63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652" t="s">
        <v>578</v>
      </c>
      <c r="Y796" s="452">
        <v>901</v>
      </c>
      <c r="Z796" s="474" t="s">
        <v>8</v>
      </c>
      <c r="AA796" s="474" t="s">
        <v>8</v>
      </c>
      <c r="AB796" s="543" t="s">
        <v>579</v>
      </c>
      <c r="AC796" s="454"/>
      <c r="AD796" s="669">
        <f t="shared" si="250"/>
        <v>1250.5</v>
      </c>
      <c r="AE796" s="633">
        <f t="shared" si="251"/>
        <v>1250.5</v>
      </c>
      <c r="AF796" s="643">
        <f t="shared" si="251"/>
        <v>1250.5</v>
      </c>
      <c r="AG796" s="3"/>
      <c r="AH796" s="3"/>
    </row>
    <row r="797" spans="1:34" ht="31.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652" t="s">
        <v>773</v>
      </c>
      <c r="Y797" s="452">
        <v>901</v>
      </c>
      <c r="Z797" s="453" t="s">
        <v>8</v>
      </c>
      <c r="AA797" s="453" t="s">
        <v>8</v>
      </c>
      <c r="AB797" s="543" t="s">
        <v>580</v>
      </c>
      <c r="AC797" s="454"/>
      <c r="AD797" s="669">
        <f t="shared" si="250"/>
        <v>1250.5</v>
      </c>
      <c r="AE797" s="633">
        <f t="shared" si="251"/>
        <v>1250.5</v>
      </c>
      <c r="AF797" s="643">
        <f t="shared" si="251"/>
        <v>1250.5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51" t="s">
        <v>60</v>
      </c>
      <c r="Y798" s="452">
        <v>901</v>
      </c>
      <c r="Z798" s="474" t="s">
        <v>8</v>
      </c>
      <c r="AA798" s="474" t="s">
        <v>8</v>
      </c>
      <c r="AB798" s="543" t="s">
        <v>580</v>
      </c>
      <c r="AC798" s="454">
        <v>600</v>
      </c>
      <c r="AD798" s="669">
        <f t="shared" si="250"/>
        <v>1250.5</v>
      </c>
      <c r="AE798" s="633">
        <f t="shared" si="251"/>
        <v>1250.5</v>
      </c>
      <c r="AF798" s="643">
        <f t="shared" si="251"/>
        <v>1250.5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51" t="s">
        <v>61</v>
      </c>
      <c r="Y799" s="452">
        <v>901</v>
      </c>
      <c r="Z799" s="474" t="s">
        <v>8</v>
      </c>
      <c r="AA799" s="474" t="s">
        <v>8</v>
      </c>
      <c r="AB799" s="543" t="s">
        <v>580</v>
      </c>
      <c r="AC799" s="454">
        <v>610</v>
      </c>
      <c r="AD799" s="669">
        <v>1250.5</v>
      </c>
      <c r="AE799" s="633">
        <v>1250.5</v>
      </c>
      <c r="AF799" s="643">
        <v>1250.5</v>
      </c>
      <c r="AG799" s="3"/>
      <c r="AH799" s="3"/>
    </row>
    <row r="800" spans="1:34" ht="17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1" t="s">
        <v>38</v>
      </c>
      <c r="Y800" s="452">
        <v>901</v>
      </c>
      <c r="Z800" s="453" t="s">
        <v>8</v>
      </c>
      <c r="AA800" s="453" t="s">
        <v>22</v>
      </c>
      <c r="AB800" s="541"/>
      <c r="AC800" s="454"/>
      <c r="AD800" s="669">
        <f>AD801+AD819+AD832</f>
        <v>32303.700000000004</v>
      </c>
      <c r="AE800" s="633">
        <f>AE801+AE819+AE832</f>
        <v>29969.100000000002</v>
      </c>
      <c r="AF800" s="643">
        <f>AF801+AF819+AF832</f>
        <v>30006.100000000002</v>
      </c>
      <c r="AG800" s="3"/>
      <c r="AH800" s="3"/>
    </row>
    <row r="801" spans="24:32" s="3" customFormat="1" x14ac:dyDescent="0.25">
      <c r="X801" s="459" t="s">
        <v>262</v>
      </c>
      <c r="Y801" s="452">
        <v>901</v>
      </c>
      <c r="Z801" s="453" t="s">
        <v>8</v>
      </c>
      <c r="AA801" s="453" t="s">
        <v>22</v>
      </c>
      <c r="AB801" s="541" t="s">
        <v>100</v>
      </c>
      <c r="AC801" s="482"/>
      <c r="AD801" s="669">
        <f t="shared" ref="AD801:AF802" si="252">AD802</f>
        <v>26563.100000000002</v>
      </c>
      <c r="AE801" s="633">
        <f t="shared" si="252"/>
        <v>25755.100000000002</v>
      </c>
      <c r="AF801" s="643">
        <f t="shared" si="252"/>
        <v>25755.100000000002</v>
      </c>
    </row>
    <row r="802" spans="24:32" s="3" customFormat="1" x14ac:dyDescent="0.25">
      <c r="X802" s="459" t="s">
        <v>48</v>
      </c>
      <c r="Y802" s="452" t="s">
        <v>413</v>
      </c>
      <c r="Z802" s="453" t="s">
        <v>8</v>
      </c>
      <c r="AA802" s="453" t="s">
        <v>22</v>
      </c>
      <c r="AB802" s="542" t="s">
        <v>482</v>
      </c>
      <c r="AC802" s="454"/>
      <c r="AD802" s="669">
        <f t="shared" si="252"/>
        <v>26563.100000000002</v>
      </c>
      <c r="AE802" s="633">
        <f t="shared" si="252"/>
        <v>25755.100000000002</v>
      </c>
      <c r="AF802" s="643">
        <f t="shared" si="252"/>
        <v>25755.100000000002</v>
      </c>
    </row>
    <row r="803" spans="24:32" s="3" customFormat="1" ht="31.5" x14ac:dyDescent="0.25">
      <c r="X803" s="459" t="s">
        <v>269</v>
      </c>
      <c r="Y803" s="452" t="s">
        <v>413</v>
      </c>
      <c r="Z803" s="453" t="s">
        <v>8</v>
      </c>
      <c r="AA803" s="453" t="s">
        <v>22</v>
      </c>
      <c r="AB803" s="542" t="s">
        <v>483</v>
      </c>
      <c r="AC803" s="454"/>
      <c r="AD803" s="669">
        <f>AD804+AD814</f>
        <v>26563.100000000002</v>
      </c>
      <c r="AE803" s="633">
        <f>AE804+AE814</f>
        <v>25755.100000000002</v>
      </c>
      <c r="AF803" s="643">
        <f>AF804+AF814</f>
        <v>25755.100000000002</v>
      </c>
    </row>
    <row r="804" spans="24:32" s="3" customFormat="1" x14ac:dyDescent="0.25">
      <c r="X804" s="659" t="s">
        <v>205</v>
      </c>
      <c r="Y804" s="452" t="s">
        <v>413</v>
      </c>
      <c r="Z804" s="453" t="s">
        <v>8</v>
      </c>
      <c r="AA804" s="453" t="s">
        <v>22</v>
      </c>
      <c r="AB804" s="542" t="s">
        <v>484</v>
      </c>
      <c r="AC804" s="454"/>
      <c r="AD804" s="669">
        <f>AD805+AD808+AD811</f>
        <v>26475.200000000001</v>
      </c>
      <c r="AE804" s="633">
        <f>AE805+AE808+AE811</f>
        <v>25567.200000000001</v>
      </c>
      <c r="AF804" s="643">
        <f>AF805+AF808+AF811</f>
        <v>25567.200000000001</v>
      </c>
    </row>
    <row r="805" spans="24:32" s="3" customFormat="1" ht="31.5" x14ac:dyDescent="0.25">
      <c r="X805" s="451" t="s">
        <v>206</v>
      </c>
      <c r="Y805" s="452" t="s">
        <v>413</v>
      </c>
      <c r="Z805" s="453" t="s">
        <v>8</v>
      </c>
      <c r="AA805" s="453" t="s">
        <v>22</v>
      </c>
      <c r="AB805" s="542" t="s">
        <v>485</v>
      </c>
      <c r="AC805" s="454"/>
      <c r="AD805" s="669">
        <f>AD806</f>
        <v>1495.2</v>
      </c>
      <c r="AE805" s="633">
        <f t="shared" ref="AE805:AF805" si="253">AE806</f>
        <v>1485.2</v>
      </c>
      <c r="AF805" s="643">
        <f t="shared" si="253"/>
        <v>1485.2</v>
      </c>
    </row>
    <row r="806" spans="24:32" s="3" customFormat="1" x14ac:dyDescent="0.25">
      <c r="X806" s="451" t="s">
        <v>120</v>
      </c>
      <c r="Y806" s="452" t="s">
        <v>413</v>
      </c>
      <c r="Z806" s="453" t="s">
        <v>8</v>
      </c>
      <c r="AA806" s="453" t="s">
        <v>22</v>
      </c>
      <c r="AB806" s="542" t="s">
        <v>485</v>
      </c>
      <c r="AC806" s="454">
        <v>200</v>
      </c>
      <c r="AD806" s="669">
        <f>AD807</f>
        <v>1495.2</v>
      </c>
      <c r="AE806" s="633">
        <f>AE807</f>
        <v>1485.2</v>
      </c>
      <c r="AF806" s="643">
        <f>AF807</f>
        <v>1485.2</v>
      </c>
    </row>
    <row r="807" spans="24:32" s="3" customFormat="1" ht="31.5" x14ac:dyDescent="0.25">
      <c r="X807" s="451" t="s">
        <v>52</v>
      </c>
      <c r="Y807" s="452" t="s">
        <v>413</v>
      </c>
      <c r="Z807" s="453" t="s">
        <v>8</v>
      </c>
      <c r="AA807" s="453" t="s">
        <v>22</v>
      </c>
      <c r="AB807" s="542" t="s">
        <v>485</v>
      </c>
      <c r="AC807" s="454">
        <v>240</v>
      </c>
      <c r="AD807" s="669">
        <f>1485.2+10</f>
        <v>1495.2</v>
      </c>
      <c r="AE807" s="633">
        <v>1485.2</v>
      </c>
      <c r="AF807" s="643">
        <v>1485.2</v>
      </c>
    </row>
    <row r="808" spans="24:32" s="3" customFormat="1" ht="31.5" x14ac:dyDescent="0.25">
      <c r="X808" s="451" t="s">
        <v>349</v>
      </c>
      <c r="Y808" s="452" t="s">
        <v>413</v>
      </c>
      <c r="Z808" s="453" t="s">
        <v>8</v>
      </c>
      <c r="AA808" s="453" t="s">
        <v>22</v>
      </c>
      <c r="AB808" s="542" t="s">
        <v>486</v>
      </c>
      <c r="AC808" s="454"/>
      <c r="AD808" s="669">
        <f t="shared" ref="AD808:AF809" si="254">AD809</f>
        <v>11514.6</v>
      </c>
      <c r="AE808" s="633">
        <f t="shared" si="254"/>
        <v>10616.6</v>
      </c>
      <c r="AF808" s="643">
        <f t="shared" si="254"/>
        <v>10616.6</v>
      </c>
    </row>
    <row r="809" spans="24:32" s="3" customFormat="1" ht="47.25" x14ac:dyDescent="0.25">
      <c r="X809" s="451" t="s">
        <v>41</v>
      </c>
      <c r="Y809" s="452" t="s">
        <v>413</v>
      </c>
      <c r="Z809" s="453" t="s">
        <v>8</v>
      </c>
      <c r="AA809" s="453" t="s">
        <v>22</v>
      </c>
      <c r="AB809" s="542" t="s">
        <v>486</v>
      </c>
      <c r="AC809" s="454">
        <v>100</v>
      </c>
      <c r="AD809" s="669">
        <f t="shared" si="254"/>
        <v>11514.6</v>
      </c>
      <c r="AE809" s="633">
        <f t="shared" si="254"/>
        <v>10616.6</v>
      </c>
      <c r="AF809" s="643">
        <f t="shared" si="254"/>
        <v>10616.6</v>
      </c>
    </row>
    <row r="810" spans="24:32" s="3" customFormat="1" x14ac:dyDescent="0.25">
      <c r="X810" s="451" t="s">
        <v>96</v>
      </c>
      <c r="Y810" s="452" t="s">
        <v>413</v>
      </c>
      <c r="Z810" s="453" t="s">
        <v>8</v>
      </c>
      <c r="AA810" s="453" t="s">
        <v>22</v>
      </c>
      <c r="AB810" s="542" t="s">
        <v>486</v>
      </c>
      <c r="AC810" s="454">
        <v>120</v>
      </c>
      <c r="AD810" s="669">
        <f>10616.6+898</f>
        <v>11514.6</v>
      </c>
      <c r="AE810" s="633">
        <v>10616.6</v>
      </c>
      <c r="AF810" s="643">
        <v>10616.6</v>
      </c>
    </row>
    <row r="811" spans="24:32" s="3" customFormat="1" ht="31.5" x14ac:dyDescent="0.25">
      <c r="X811" s="451" t="s">
        <v>270</v>
      </c>
      <c r="Y811" s="452" t="s">
        <v>413</v>
      </c>
      <c r="Z811" s="453" t="s">
        <v>8</v>
      </c>
      <c r="AA811" s="453" t="s">
        <v>22</v>
      </c>
      <c r="AB811" s="542" t="s">
        <v>487</v>
      </c>
      <c r="AC811" s="454"/>
      <c r="AD811" s="669">
        <f t="shared" ref="AD811:AF812" si="255">AD812</f>
        <v>13465.4</v>
      </c>
      <c r="AE811" s="633">
        <f t="shared" si="255"/>
        <v>13465.4</v>
      </c>
      <c r="AF811" s="643">
        <f t="shared" si="255"/>
        <v>13465.4</v>
      </c>
    </row>
    <row r="812" spans="24:32" s="3" customFormat="1" ht="47.25" x14ac:dyDescent="0.25">
      <c r="X812" s="451" t="s">
        <v>41</v>
      </c>
      <c r="Y812" s="452" t="s">
        <v>413</v>
      </c>
      <c r="Z812" s="453" t="s">
        <v>8</v>
      </c>
      <c r="AA812" s="453" t="s">
        <v>22</v>
      </c>
      <c r="AB812" s="542" t="s">
        <v>487</v>
      </c>
      <c r="AC812" s="454">
        <v>100</v>
      </c>
      <c r="AD812" s="669">
        <f t="shared" si="255"/>
        <v>13465.4</v>
      </c>
      <c r="AE812" s="633">
        <f t="shared" si="255"/>
        <v>13465.4</v>
      </c>
      <c r="AF812" s="643">
        <f t="shared" si="255"/>
        <v>13465.4</v>
      </c>
    </row>
    <row r="813" spans="24:32" s="3" customFormat="1" x14ac:dyDescent="0.25">
      <c r="X813" s="451" t="s">
        <v>96</v>
      </c>
      <c r="Y813" s="452" t="s">
        <v>413</v>
      </c>
      <c r="Z813" s="453" t="s">
        <v>8</v>
      </c>
      <c r="AA813" s="453" t="s">
        <v>22</v>
      </c>
      <c r="AB813" s="542" t="s">
        <v>487</v>
      </c>
      <c r="AC813" s="454">
        <v>120</v>
      </c>
      <c r="AD813" s="669">
        <v>13465.4</v>
      </c>
      <c r="AE813" s="633">
        <v>13465.4</v>
      </c>
      <c r="AF813" s="643">
        <v>13465.4</v>
      </c>
    </row>
    <row r="814" spans="24:32" s="3" customFormat="1" x14ac:dyDescent="0.25">
      <c r="X814" s="451" t="s">
        <v>271</v>
      </c>
      <c r="Y814" s="452" t="s">
        <v>413</v>
      </c>
      <c r="Z814" s="453" t="s">
        <v>8</v>
      </c>
      <c r="AA814" s="453" t="s">
        <v>22</v>
      </c>
      <c r="AB814" s="542" t="s">
        <v>488</v>
      </c>
      <c r="AC814" s="454"/>
      <c r="AD814" s="669">
        <f>AD815+AD817</f>
        <v>87.9</v>
      </c>
      <c r="AE814" s="669">
        <f t="shared" ref="AE814:AF814" si="256">AE815+AE817</f>
        <v>187.9</v>
      </c>
      <c r="AF814" s="669">
        <f t="shared" si="256"/>
        <v>187.9</v>
      </c>
    </row>
    <row r="815" spans="24:32" s="3" customFormat="1" x14ac:dyDescent="0.25">
      <c r="X815" s="451" t="s">
        <v>120</v>
      </c>
      <c r="Y815" s="452" t="s">
        <v>413</v>
      </c>
      <c r="Z815" s="453" t="s">
        <v>8</v>
      </c>
      <c r="AA815" s="453" t="s">
        <v>22</v>
      </c>
      <c r="AB815" s="542" t="s">
        <v>488</v>
      </c>
      <c r="AC815" s="454">
        <v>200</v>
      </c>
      <c r="AD815" s="669">
        <f t="shared" ref="AD815:AF815" si="257">AD816</f>
        <v>0</v>
      </c>
      <c r="AE815" s="633">
        <f t="shared" si="257"/>
        <v>187.9</v>
      </c>
      <c r="AF815" s="643">
        <f t="shared" si="257"/>
        <v>187.9</v>
      </c>
    </row>
    <row r="816" spans="24:32" s="3" customFormat="1" ht="31.5" x14ac:dyDescent="0.25">
      <c r="X816" s="451" t="s">
        <v>52</v>
      </c>
      <c r="Y816" s="452" t="s">
        <v>413</v>
      </c>
      <c r="Z816" s="453" t="s">
        <v>8</v>
      </c>
      <c r="AA816" s="453" t="s">
        <v>22</v>
      </c>
      <c r="AB816" s="542" t="s">
        <v>488</v>
      </c>
      <c r="AC816" s="454">
        <v>240</v>
      </c>
      <c r="AD816" s="669">
        <f>187.9-100-87.9</f>
        <v>0</v>
      </c>
      <c r="AE816" s="633">
        <v>187.9</v>
      </c>
      <c r="AF816" s="643">
        <v>187.9</v>
      </c>
    </row>
    <row r="817" spans="24:32" s="3" customFormat="1" x14ac:dyDescent="0.25">
      <c r="X817" s="451" t="s">
        <v>97</v>
      </c>
      <c r="Y817" s="452" t="s">
        <v>413</v>
      </c>
      <c r="Z817" s="453" t="s">
        <v>8</v>
      </c>
      <c r="AA817" s="453" t="s">
        <v>22</v>
      </c>
      <c r="AB817" s="542" t="s">
        <v>488</v>
      </c>
      <c r="AC817" s="454">
        <v>300</v>
      </c>
      <c r="AD817" s="669">
        <f>AD818</f>
        <v>87.9</v>
      </c>
      <c r="AE817" s="669">
        <f t="shared" ref="AE817:AF817" si="258">AE818</f>
        <v>0</v>
      </c>
      <c r="AF817" s="669">
        <f t="shared" si="258"/>
        <v>0</v>
      </c>
    </row>
    <row r="818" spans="24:32" s="3" customFormat="1" x14ac:dyDescent="0.25">
      <c r="X818" s="451" t="s">
        <v>890</v>
      </c>
      <c r="Y818" s="452" t="s">
        <v>413</v>
      </c>
      <c r="Z818" s="453" t="s">
        <v>8</v>
      </c>
      <c r="AA818" s="453" t="s">
        <v>22</v>
      </c>
      <c r="AB818" s="542" t="s">
        <v>488</v>
      </c>
      <c r="AC818" s="454">
        <v>340</v>
      </c>
      <c r="AD818" s="669">
        <v>87.9</v>
      </c>
      <c r="AE818" s="633">
        <v>0</v>
      </c>
      <c r="AF818" s="643">
        <v>0</v>
      </c>
    </row>
    <row r="819" spans="24:32" s="3" customFormat="1" x14ac:dyDescent="0.25">
      <c r="X819" s="457" t="s">
        <v>292</v>
      </c>
      <c r="Y819" s="452" t="s">
        <v>413</v>
      </c>
      <c r="Z819" s="453" t="s">
        <v>8</v>
      </c>
      <c r="AA819" s="453" t="s">
        <v>22</v>
      </c>
      <c r="AB819" s="542" t="s">
        <v>109</v>
      </c>
      <c r="AC819" s="454"/>
      <c r="AD819" s="669">
        <f t="shared" ref="AD819:AF819" si="259">AD820</f>
        <v>4793.6000000000004</v>
      </c>
      <c r="AE819" s="633">
        <f t="shared" si="259"/>
        <v>4214</v>
      </c>
      <c r="AF819" s="643">
        <f t="shared" si="259"/>
        <v>4251</v>
      </c>
    </row>
    <row r="820" spans="24:32" s="3" customFormat="1" x14ac:dyDescent="0.25">
      <c r="X820" s="457" t="s">
        <v>296</v>
      </c>
      <c r="Y820" s="452" t="s">
        <v>413</v>
      </c>
      <c r="Z820" s="453" t="s">
        <v>8</v>
      </c>
      <c r="AA820" s="453" t="s">
        <v>22</v>
      </c>
      <c r="AB820" s="542" t="s">
        <v>110</v>
      </c>
      <c r="AC820" s="454"/>
      <c r="AD820" s="669">
        <f>AD821</f>
        <v>4793.6000000000004</v>
      </c>
      <c r="AE820" s="633">
        <f>AE821</f>
        <v>4214</v>
      </c>
      <c r="AF820" s="643">
        <f>AF821</f>
        <v>4251</v>
      </c>
    </row>
    <row r="821" spans="24:32" s="3" customFormat="1" x14ac:dyDescent="0.25">
      <c r="X821" s="465" t="s">
        <v>513</v>
      </c>
      <c r="Y821" s="452" t="s">
        <v>413</v>
      </c>
      <c r="Z821" s="453" t="s">
        <v>8</v>
      </c>
      <c r="AA821" s="453" t="s">
        <v>22</v>
      </c>
      <c r="AB821" s="542" t="s">
        <v>502</v>
      </c>
      <c r="AC821" s="454"/>
      <c r="AD821" s="669">
        <f>AD825+AD822</f>
        <v>4793.6000000000004</v>
      </c>
      <c r="AE821" s="633">
        <f>AE825</f>
        <v>4214</v>
      </c>
      <c r="AF821" s="643">
        <f>AF825</f>
        <v>4251</v>
      </c>
    </row>
    <row r="822" spans="24:32" s="3" customFormat="1" ht="47.25" x14ac:dyDescent="0.25">
      <c r="X822" s="661" t="s">
        <v>847</v>
      </c>
      <c r="Y822" s="452" t="s">
        <v>413</v>
      </c>
      <c r="Z822" s="453" t="s">
        <v>8</v>
      </c>
      <c r="AA822" s="453" t="s">
        <v>22</v>
      </c>
      <c r="AB822" s="542" t="s">
        <v>848</v>
      </c>
      <c r="AC822" s="454"/>
      <c r="AD822" s="669">
        <f>AD823</f>
        <v>327.60000000000002</v>
      </c>
      <c r="AE822" s="669">
        <f t="shared" ref="AE822:AE823" si="260">AE823</f>
        <v>0</v>
      </c>
      <c r="AF822" s="669">
        <f t="shared" ref="AF822:AF823" si="261">AF823</f>
        <v>0</v>
      </c>
    </row>
    <row r="823" spans="24:32" s="3" customFormat="1" ht="31.5" x14ac:dyDescent="0.25">
      <c r="X823" s="451" t="s">
        <v>60</v>
      </c>
      <c r="Y823" s="452" t="s">
        <v>413</v>
      </c>
      <c r="Z823" s="453" t="s">
        <v>8</v>
      </c>
      <c r="AA823" s="453" t="s">
        <v>22</v>
      </c>
      <c r="AB823" s="542" t="s">
        <v>848</v>
      </c>
      <c r="AC823" s="454">
        <v>600</v>
      </c>
      <c r="AD823" s="669">
        <f>AD824</f>
        <v>327.60000000000002</v>
      </c>
      <c r="AE823" s="669">
        <f t="shared" si="260"/>
        <v>0</v>
      </c>
      <c r="AF823" s="669">
        <f t="shared" si="261"/>
        <v>0</v>
      </c>
    </row>
    <row r="824" spans="24:32" s="3" customFormat="1" x14ac:dyDescent="0.25">
      <c r="X824" s="451" t="s">
        <v>61</v>
      </c>
      <c r="Y824" s="452" t="s">
        <v>413</v>
      </c>
      <c r="Z824" s="453" t="s">
        <v>8</v>
      </c>
      <c r="AA824" s="453" t="s">
        <v>22</v>
      </c>
      <c r="AB824" s="542" t="s">
        <v>848</v>
      </c>
      <c r="AC824" s="454">
        <v>610</v>
      </c>
      <c r="AD824" s="669">
        <v>327.60000000000002</v>
      </c>
      <c r="AE824" s="633">
        <v>0</v>
      </c>
      <c r="AF824" s="643">
        <v>0</v>
      </c>
    </row>
    <row r="825" spans="24:32" s="3" customFormat="1" x14ac:dyDescent="0.25">
      <c r="X825" s="465" t="s">
        <v>297</v>
      </c>
      <c r="Y825" s="452" t="s">
        <v>413</v>
      </c>
      <c r="Z825" s="453" t="s">
        <v>8</v>
      </c>
      <c r="AA825" s="453" t="s">
        <v>22</v>
      </c>
      <c r="AB825" s="542" t="s">
        <v>504</v>
      </c>
      <c r="AC825" s="454"/>
      <c r="AD825" s="669">
        <f>AD829+AD826</f>
        <v>4466</v>
      </c>
      <c r="AE825" s="633">
        <f>AE829+AE826</f>
        <v>4214</v>
      </c>
      <c r="AF825" s="643">
        <f>AF829+AF826</f>
        <v>4251</v>
      </c>
    </row>
    <row r="826" spans="24:32" s="3" customFormat="1" ht="47.25" x14ac:dyDescent="0.25">
      <c r="X826" s="465" t="s">
        <v>317</v>
      </c>
      <c r="Y826" s="452" t="s">
        <v>413</v>
      </c>
      <c r="Z826" s="453" t="s">
        <v>8</v>
      </c>
      <c r="AA826" s="453" t="s">
        <v>22</v>
      </c>
      <c r="AB826" s="542" t="s">
        <v>505</v>
      </c>
      <c r="AC826" s="454"/>
      <c r="AD826" s="669">
        <f t="shared" ref="AD826:AF827" si="262">AD827</f>
        <v>2843.5999999999995</v>
      </c>
      <c r="AE826" s="633">
        <f t="shared" si="262"/>
        <v>2144</v>
      </c>
      <c r="AF826" s="643">
        <f t="shared" si="262"/>
        <v>2171</v>
      </c>
    </row>
    <row r="827" spans="24:32" s="3" customFormat="1" ht="31.5" x14ac:dyDescent="0.25">
      <c r="X827" s="451" t="s">
        <v>60</v>
      </c>
      <c r="Y827" s="452" t="s">
        <v>413</v>
      </c>
      <c r="Z827" s="453" t="s">
        <v>8</v>
      </c>
      <c r="AA827" s="453" t="s">
        <v>22</v>
      </c>
      <c r="AB827" s="542" t="s">
        <v>505</v>
      </c>
      <c r="AC827" s="454">
        <v>600</v>
      </c>
      <c r="AD827" s="669">
        <f t="shared" si="262"/>
        <v>2843.5999999999995</v>
      </c>
      <c r="AE827" s="633">
        <f t="shared" si="262"/>
        <v>2144</v>
      </c>
      <c r="AF827" s="643">
        <f t="shared" si="262"/>
        <v>2171</v>
      </c>
    </row>
    <row r="828" spans="24:32" s="3" customFormat="1" x14ac:dyDescent="0.25">
      <c r="X828" s="451" t="s">
        <v>61</v>
      </c>
      <c r="Y828" s="452" t="s">
        <v>413</v>
      </c>
      <c r="Z828" s="453" t="s">
        <v>8</v>
      </c>
      <c r="AA828" s="453" t="s">
        <v>22</v>
      </c>
      <c r="AB828" s="542" t="s">
        <v>505</v>
      </c>
      <c r="AC828" s="454">
        <v>610</v>
      </c>
      <c r="AD828" s="669">
        <f>711+1345-824.4+487.6+337.2+0.6+191.8+268.2+136.2+190.4</f>
        <v>2843.5999999999995</v>
      </c>
      <c r="AE828" s="633">
        <f>1415+729</f>
        <v>2144</v>
      </c>
      <c r="AF828" s="643">
        <f>742+1429</f>
        <v>2171</v>
      </c>
    </row>
    <row r="829" spans="24:32" s="3" customFormat="1" ht="31.5" x14ac:dyDescent="0.25">
      <c r="X829" s="451" t="s">
        <v>318</v>
      </c>
      <c r="Y829" s="452" t="s">
        <v>413</v>
      </c>
      <c r="Z829" s="453" t="s">
        <v>8</v>
      </c>
      <c r="AA829" s="453" t="s">
        <v>22</v>
      </c>
      <c r="AB829" s="542" t="s">
        <v>506</v>
      </c>
      <c r="AC829" s="454"/>
      <c r="AD829" s="669">
        <f t="shared" ref="AD829:AF830" si="263">AD830</f>
        <v>1622.4</v>
      </c>
      <c r="AE829" s="633">
        <f t="shared" si="263"/>
        <v>2070</v>
      </c>
      <c r="AF829" s="643">
        <f t="shared" si="263"/>
        <v>2080</v>
      </c>
    </row>
    <row r="830" spans="24:32" s="3" customFormat="1" ht="31.5" x14ac:dyDescent="0.25">
      <c r="X830" s="451" t="s">
        <v>60</v>
      </c>
      <c r="Y830" s="452" t="s">
        <v>413</v>
      </c>
      <c r="Z830" s="453" t="s">
        <v>8</v>
      </c>
      <c r="AA830" s="453" t="s">
        <v>22</v>
      </c>
      <c r="AB830" s="542" t="s">
        <v>506</v>
      </c>
      <c r="AC830" s="454">
        <v>600</v>
      </c>
      <c r="AD830" s="669">
        <f t="shared" si="263"/>
        <v>1622.4</v>
      </c>
      <c r="AE830" s="633">
        <f t="shared" si="263"/>
        <v>2070</v>
      </c>
      <c r="AF830" s="643">
        <f>AF831</f>
        <v>2080</v>
      </c>
    </row>
    <row r="831" spans="24:32" s="3" customFormat="1" x14ac:dyDescent="0.25">
      <c r="X831" s="451" t="s">
        <v>61</v>
      </c>
      <c r="Y831" s="452" t="s">
        <v>413</v>
      </c>
      <c r="Z831" s="453" t="s">
        <v>8</v>
      </c>
      <c r="AA831" s="453" t="s">
        <v>22</v>
      </c>
      <c r="AB831" s="542" t="s">
        <v>506</v>
      </c>
      <c r="AC831" s="454">
        <v>610</v>
      </c>
      <c r="AD831" s="669">
        <f>1950+336.8-337.2-0.6-136.2-190.4</f>
        <v>1622.4</v>
      </c>
      <c r="AE831" s="633">
        <f>850+1220</f>
        <v>2070</v>
      </c>
      <c r="AF831" s="643">
        <f>850+1230</f>
        <v>2080</v>
      </c>
    </row>
    <row r="832" spans="24:32" s="3" customFormat="1" x14ac:dyDescent="0.25">
      <c r="X832" s="457" t="s">
        <v>233</v>
      </c>
      <c r="Y832" s="452" t="s">
        <v>413</v>
      </c>
      <c r="Z832" s="453" t="s">
        <v>8</v>
      </c>
      <c r="AA832" s="453" t="s">
        <v>22</v>
      </c>
      <c r="AB832" s="542" t="s">
        <v>234</v>
      </c>
      <c r="AC832" s="574"/>
      <c r="AD832" s="669">
        <f t="shared" ref="AD832:AF836" si="264">AD833</f>
        <v>947</v>
      </c>
      <c r="AE832" s="633">
        <f t="shared" si="264"/>
        <v>0</v>
      </c>
      <c r="AF832" s="643">
        <f t="shared" si="264"/>
        <v>0</v>
      </c>
    </row>
    <row r="833" spans="24:32" s="3" customFormat="1" ht="31.5" x14ac:dyDescent="0.25">
      <c r="X833" s="457" t="s">
        <v>703</v>
      </c>
      <c r="Y833" s="452" t="s">
        <v>413</v>
      </c>
      <c r="Z833" s="453" t="s">
        <v>8</v>
      </c>
      <c r="AA833" s="453" t="s">
        <v>22</v>
      </c>
      <c r="AB833" s="542" t="s">
        <v>237</v>
      </c>
      <c r="AC833" s="574"/>
      <c r="AD833" s="669">
        <f t="shared" si="264"/>
        <v>947</v>
      </c>
      <c r="AE833" s="633">
        <f t="shared" si="264"/>
        <v>0</v>
      </c>
      <c r="AF833" s="643">
        <f t="shared" si="264"/>
        <v>0</v>
      </c>
    </row>
    <row r="834" spans="24:32" s="3" customFormat="1" x14ac:dyDescent="0.25">
      <c r="X834" s="451" t="s">
        <v>702</v>
      </c>
      <c r="Y834" s="452" t="s">
        <v>413</v>
      </c>
      <c r="Z834" s="453" t="s">
        <v>8</v>
      </c>
      <c r="AA834" s="453" t="s">
        <v>22</v>
      </c>
      <c r="AB834" s="542" t="s">
        <v>701</v>
      </c>
      <c r="AC834" s="482"/>
      <c r="AD834" s="669">
        <f t="shared" si="264"/>
        <v>947</v>
      </c>
      <c r="AE834" s="633">
        <f t="shared" si="264"/>
        <v>0</v>
      </c>
      <c r="AF834" s="643">
        <f t="shared" si="264"/>
        <v>0</v>
      </c>
    </row>
    <row r="835" spans="24:32" s="3" customFormat="1" ht="47.25" x14ac:dyDescent="0.25">
      <c r="X835" s="451" t="s">
        <v>699</v>
      </c>
      <c r="Y835" s="452" t="s">
        <v>413</v>
      </c>
      <c r="Z835" s="453" t="s">
        <v>8</v>
      </c>
      <c r="AA835" s="453" t="s">
        <v>22</v>
      </c>
      <c r="AB835" s="554" t="s">
        <v>700</v>
      </c>
      <c r="AC835" s="482"/>
      <c r="AD835" s="669">
        <f t="shared" si="264"/>
        <v>947</v>
      </c>
      <c r="AE835" s="633">
        <f t="shared" si="264"/>
        <v>0</v>
      </c>
      <c r="AF835" s="643">
        <f t="shared" si="264"/>
        <v>0</v>
      </c>
    </row>
    <row r="836" spans="24:32" s="3" customFormat="1" x14ac:dyDescent="0.25">
      <c r="X836" s="451" t="s">
        <v>120</v>
      </c>
      <c r="Y836" s="452" t="s">
        <v>413</v>
      </c>
      <c r="Z836" s="453" t="s">
        <v>8</v>
      </c>
      <c r="AA836" s="453" t="s">
        <v>22</v>
      </c>
      <c r="AB836" s="554" t="s">
        <v>700</v>
      </c>
      <c r="AC836" s="482">
        <v>200</v>
      </c>
      <c r="AD836" s="669">
        <f t="shared" si="264"/>
        <v>947</v>
      </c>
      <c r="AE836" s="633">
        <f t="shared" si="264"/>
        <v>0</v>
      </c>
      <c r="AF836" s="643">
        <f t="shared" si="264"/>
        <v>0</v>
      </c>
    </row>
    <row r="837" spans="24:32" s="3" customFormat="1" ht="31.5" x14ac:dyDescent="0.25">
      <c r="X837" s="451" t="s">
        <v>52</v>
      </c>
      <c r="Y837" s="452" t="s">
        <v>413</v>
      </c>
      <c r="Z837" s="453" t="s">
        <v>8</v>
      </c>
      <c r="AA837" s="453" t="s">
        <v>22</v>
      </c>
      <c r="AB837" s="554" t="s">
        <v>700</v>
      </c>
      <c r="AC837" s="482">
        <v>240</v>
      </c>
      <c r="AD837" s="669">
        <v>947</v>
      </c>
      <c r="AE837" s="633">
        <v>0</v>
      </c>
      <c r="AF837" s="643">
        <v>0</v>
      </c>
    </row>
    <row r="838" spans="24:32" s="3" customFormat="1" x14ac:dyDescent="0.25">
      <c r="X838" s="650" t="s">
        <v>94</v>
      </c>
      <c r="Y838" s="448" t="s">
        <v>413</v>
      </c>
      <c r="Z838" s="471" t="s">
        <v>36</v>
      </c>
      <c r="AA838" s="540"/>
      <c r="AB838" s="539"/>
      <c r="AC838" s="476"/>
      <c r="AD838" s="668">
        <f>AD839+AD846</f>
        <v>15351.9</v>
      </c>
      <c r="AE838" s="632">
        <f>AE839+AE846</f>
        <v>15062</v>
      </c>
      <c r="AF838" s="642">
        <f>AF839+AF846</f>
        <v>15062</v>
      </c>
    </row>
    <row r="839" spans="24:32" s="3" customFormat="1" x14ac:dyDescent="0.25">
      <c r="X839" s="451" t="s">
        <v>55</v>
      </c>
      <c r="Y839" s="452" t="s">
        <v>413</v>
      </c>
      <c r="Z839" s="453">
        <v>10</v>
      </c>
      <c r="AA839" s="453" t="s">
        <v>29</v>
      </c>
      <c r="AB839" s="541"/>
      <c r="AC839" s="450"/>
      <c r="AD839" s="669">
        <f t="shared" ref="AD839:AF844" si="265">AD840</f>
        <v>982</v>
      </c>
      <c r="AE839" s="633">
        <f t="shared" si="265"/>
        <v>982</v>
      </c>
      <c r="AF839" s="643">
        <f t="shared" si="265"/>
        <v>982</v>
      </c>
    </row>
    <row r="840" spans="24:32" s="3" customFormat="1" x14ac:dyDescent="0.25">
      <c r="X840" s="457" t="s">
        <v>292</v>
      </c>
      <c r="Y840" s="452" t="s">
        <v>413</v>
      </c>
      <c r="Z840" s="453">
        <v>10</v>
      </c>
      <c r="AA840" s="453" t="s">
        <v>29</v>
      </c>
      <c r="AB840" s="542" t="s">
        <v>109</v>
      </c>
      <c r="AC840" s="450"/>
      <c r="AD840" s="669">
        <f t="shared" si="265"/>
        <v>982</v>
      </c>
      <c r="AE840" s="633">
        <f t="shared" si="265"/>
        <v>982</v>
      </c>
      <c r="AF840" s="643">
        <f t="shared" si="265"/>
        <v>982</v>
      </c>
    </row>
    <row r="841" spans="24:32" s="3" customFormat="1" x14ac:dyDescent="0.25">
      <c r="X841" s="457" t="s">
        <v>293</v>
      </c>
      <c r="Y841" s="452" t="s">
        <v>413</v>
      </c>
      <c r="Z841" s="453">
        <v>10</v>
      </c>
      <c r="AA841" s="453" t="s">
        <v>29</v>
      </c>
      <c r="AB841" s="542" t="s">
        <v>118</v>
      </c>
      <c r="AC841" s="450"/>
      <c r="AD841" s="669">
        <f t="shared" si="265"/>
        <v>982</v>
      </c>
      <c r="AE841" s="633">
        <f t="shared" si="265"/>
        <v>982</v>
      </c>
      <c r="AF841" s="643">
        <f t="shared" si="265"/>
        <v>982</v>
      </c>
    </row>
    <row r="842" spans="24:32" s="3" customFormat="1" ht="31.5" x14ac:dyDescent="0.25">
      <c r="X842" s="457" t="s">
        <v>294</v>
      </c>
      <c r="Y842" s="452" t="s">
        <v>413</v>
      </c>
      <c r="Z842" s="453">
        <v>10</v>
      </c>
      <c r="AA842" s="453" t="s">
        <v>29</v>
      </c>
      <c r="AB842" s="542" t="s">
        <v>464</v>
      </c>
      <c r="AC842" s="450"/>
      <c r="AD842" s="669">
        <f t="shared" si="265"/>
        <v>982</v>
      </c>
      <c r="AE842" s="633">
        <f t="shared" si="265"/>
        <v>982</v>
      </c>
      <c r="AF842" s="643">
        <f t="shared" si="265"/>
        <v>982</v>
      </c>
    </row>
    <row r="843" spans="24:32" s="3" customFormat="1" ht="31.5" x14ac:dyDescent="0.25">
      <c r="X843" s="466" t="s">
        <v>295</v>
      </c>
      <c r="Y843" s="452" t="s">
        <v>413</v>
      </c>
      <c r="Z843" s="453">
        <v>10</v>
      </c>
      <c r="AA843" s="453" t="s">
        <v>29</v>
      </c>
      <c r="AB843" s="542" t="s">
        <v>463</v>
      </c>
      <c r="AC843" s="450"/>
      <c r="AD843" s="669">
        <f t="shared" si="265"/>
        <v>982</v>
      </c>
      <c r="AE843" s="633">
        <f t="shared" si="265"/>
        <v>982</v>
      </c>
      <c r="AF843" s="643">
        <f t="shared" si="265"/>
        <v>982</v>
      </c>
    </row>
    <row r="844" spans="24:32" s="3" customFormat="1" x14ac:dyDescent="0.25">
      <c r="X844" s="451" t="s">
        <v>97</v>
      </c>
      <c r="Y844" s="452" t="s">
        <v>413</v>
      </c>
      <c r="Z844" s="453">
        <v>10</v>
      </c>
      <c r="AA844" s="453" t="s">
        <v>29</v>
      </c>
      <c r="AB844" s="542" t="s">
        <v>463</v>
      </c>
      <c r="AC844" s="454">
        <v>300</v>
      </c>
      <c r="AD844" s="669">
        <f t="shared" si="265"/>
        <v>982</v>
      </c>
      <c r="AE844" s="633">
        <f t="shared" si="265"/>
        <v>982</v>
      </c>
      <c r="AF844" s="643">
        <f t="shared" si="265"/>
        <v>982</v>
      </c>
    </row>
    <row r="845" spans="24:32" s="3" customFormat="1" x14ac:dyDescent="0.25">
      <c r="X845" s="451" t="s">
        <v>40</v>
      </c>
      <c r="Y845" s="452" t="s">
        <v>413</v>
      </c>
      <c r="Z845" s="453">
        <v>10</v>
      </c>
      <c r="AA845" s="453" t="s">
        <v>29</v>
      </c>
      <c r="AB845" s="542" t="s">
        <v>463</v>
      </c>
      <c r="AC845" s="454">
        <v>320</v>
      </c>
      <c r="AD845" s="669">
        <v>982</v>
      </c>
      <c r="AE845" s="633">
        <v>982</v>
      </c>
      <c r="AF845" s="643">
        <v>982</v>
      </c>
    </row>
    <row r="846" spans="24:32" s="3" customFormat="1" x14ac:dyDescent="0.25">
      <c r="X846" s="451" t="s">
        <v>31</v>
      </c>
      <c r="Y846" s="452" t="s">
        <v>413</v>
      </c>
      <c r="Z846" s="453">
        <v>10</v>
      </c>
      <c r="AA846" s="453" t="s">
        <v>49</v>
      </c>
      <c r="AB846" s="542"/>
      <c r="AC846" s="454"/>
      <c r="AD846" s="669">
        <f>AD847</f>
        <v>14369.9</v>
      </c>
      <c r="AE846" s="633">
        <f>AE847</f>
        <v>14080</v>
      </c>
      <c r="AF846" s="643">
        <f>AF847</f>
        <v>14080</v>
      </c>
    </row>
    <row r="847" spans="24:32" s="3" customFormat="1" x14ac:dyDescent="0.25">
      <c r="X847" s="459" t="s">
        <v>262</v>
      </c>
      <c r="Y847" s="452" t="s">
        <v>413</v>
      </c>
      <c r="Z847" s="453">
        <v>10</v>
      </c>
      <c r="AA847" s="453" t="s">
        <v>49</v>
      </c>
      <c r="AB847" s="541" t="s">
        <v>100</v>
      </c>
      <c r="AC847" s="454"/>
      <c r="AD847" s="669">
        <f t="shared" ref="AD847:AF849" si="266">AD848</f>
        <v>14369.9</v>
      </c>
      <c r="AE847" s="633">
        <f t="shared" si="266"/>
        <v>14080</v>
      </c>
      <c r="AF847" s="643">
        <f t="shared" si="266"/>
        <v>14080</v>
      </c>
    </row>
    <row r="848" spans="24:32" s="3" customFormat="1" x14ac:dyDescent="0.25">
      <c r="X848" s="459" t="s">
        <v>515</v>
      </c>
      <c r="Y848" s="452" t="s">
        <v>413</v>
      </c>
      <c r="Z848" s="453">
        <v>10</v>
      </c>
      <c r="AA848" s="453" t="s">
        <v>49</v>
      </c>
      <c r="AB848" s="541" t="s">
        <v>117</v>
      </c>
      <c r="AC848" s="454"/>
      <c r="AD848" s="669">
        <f>AD849</f>
        <v>14369.9</v>
      </c>
      <c r="AE848" s="633">
        <f>AE849</f>
        <v>14080</v>
      </c>
      <c r="AF848" s="643">
        <f>AF849</f>
        <v>14080</v>
      </c>
    </row>
    <row r="849" spans="24:32" s="3" customFormat="1" ht="31.5" x14ac:dyDescent="0.25">
      <c r="X849" s="459" t="s">
        <v>266</v>
      </c>
      <c r="Y849" s="452" t="s">
        <v>413</v>
      </c>
      <c r="Z849" s="453">
        <v>10</v>
      </c>
      <c r="AA849" s="453" t="s">
        <v>49</v>
      </c>
      <c r="AB849" s="542" t="s">
        <v>446</v>
      </c>
      <c r="AC849" s="454"/>
      <c r="AD849" s="669">
        <f t="shared" si="266"/>
        <v>14369.9</v>
      </c>
      <c r="AE849" s="633">
        <f t="shared" si="266"/>
        <v>14080</v>
      </c>
      <c r="AF849" s="643">
        <f t="shared" si="266"/>
        <v>14080</v>
      </c>
    </row>
    <row r="850" spans="24:32" s="3" customFormat="1" ht="47.25" x14ac:dyDescent="0.25">
      <c r="X850" s="659" t="s">
        <v>263</v>
      </c>
      <c r="Y850" s="452" t="s">
        <v>413</v>
      </c>
      <c r="Z850" s="453">
        <v>10</v>
      </c>
      <c r="AA850" s="453" t="s">
        <v>49</v>
      </c>
      <c r="AB850" s="542" t="s">
        <v>466</v>
      </c>
      <c r="AC850" s="454"/>
      <c r="AD850" s="669">
        <f>AD853+AD851+AD855</f>
        <v>14369.9</v>
      </c>
      <c r="AE850" s="633">
        <f>AE853+AE851+AE855</f>
        <v>14080</v>
      </c>
      <c r="AF850" s="643">
        <f>AF853+AF851+AF855</f>
        <v>14080</v>
      </c>
    </row>
    <row r="851" spans="24:32" s="3" customFormat="1" x14ac:dyDescent="0.25">
      <c r="X851" s="451" t="s">
        <v>120</v>
      </c>
      <c r="Y851" s="452" t="s">
        <v>413</v>
      </c>
      <c r="Z851" s="453">
        <v>10</v>
      </c>
      <c r="AA851" s="453" t="s">
        <v>49</v>
      </c>
      <c r="AB851" s="542" t="s">
        <v>466</v>
      </c>
      <c r="AC851" s="454">
        <v>200</v>
      </c>
      <c r="AD851" s="669">
        <f>AD852</f>
        <v>139</v>
      </c>
      <c r="AE851" s="633">
        <f>AE852</f>
        <v>139</v>
      </c>
      <c r="AF851" s="643">
        <f>AF852</f>
        <v>139</v>
      </c>
    </row>
    <row r="852" spans="24:32" s="3" customFormat="1" ht="31.5" x14ac:dyDescent="0.25">
      <c r="X852" s="451" t="s">
        <v>52</v>
      </c>
      <c r="Y852" s="452" t="s">
        <v>413</v>
      </c>
      <c r="Z852" s="453">
        <v>10</v>
      </c>
      <c r="AA852" s="453" t="s">
        <v>49</v>
      </c>
      <c r="AB852" s="542" t="s">
        <v>466</v>
      </c>
      <c r="AC852" s="454">
        <v>240</v>
      </c>
      <c r="AD852" s="669">
        <v>139</v>
      </c>
      <c r="AE852" s="633">
        <v>139</v>
      </c>
      <c r="AF852" s="643">
        <v>139</v>
      </c>
    </row>
    <row r="853" spans="24:32" s="3" customFormat="1" x14ac:dyDescent="0.25">
      <c r="X853" s="451" t="s">
        <v>97</v>
      </c>
      <c r="Y853" s="452" t="s">
        <v>413</v>
      </c>
      <c r="Z853" s="453">
        <v>10</v>
      </c>
      <c r="AA853" s="453" t="s">
        <v>49</v>
      </c>
      <c r="AB853" s="542" t="s">
        <v>466</v>
      </c>
      <c r="AC853" s="454">
        <v>300</v>
      </c>
      <c r="AD853" s="669">
        <f>AD854</f>
        <v>13941</v>
      </c>
      <c r="AE853" s="633">
        <f>AE854</f>
        <v>13941</v>
      </c>
      <c r="AF853" s="643">
        <f>AF854</f>
        <v>13941</v>
      </c>
    </row>
    <row r="854" spans="24:32" s="3" customFormat="1" x14ac:dyDescent="0.25">
      <c r="X854" s="451" t="s">
        <v>131</v>
      </c>
      <c r="Y854" s="452" t="s">
        <v>413</v>
      </c>
      <c r="Z854" s="453">
        <v>10</v>
      </c>
      <c r="AA854" s="453" t="s">
        <v>49</v>
      </c>
      <c r="AB854" s="542" t="s">
        <v>466</v>
      </c>
      <c r="AC854" s="454">
        <v>310</v>
      </c>
      <c r="AD854" s="669">
        <v>13941</v>
      </c>
      <c r="AE854" s="633">
        <v>13941</v>
      </c>
      <c r="AF854" s="643">
        <v>13941</v>
      </c>
    </row>
    <row r="855" spans="24:32" s="3" customFormat="1" ht="31.5" x14ac:dyDescent="0.25">
      <c r="X855" s="451" t="s">
        <v>60</v>
      </c>
      <c r="Y855" s="452" t="s">
        <v>413</v>
      </c>
      <c r="Z855" s="453">
        <v>10</v>
      </c>
      <c r="AA855" s="453" t="s">
        <v>49</v>
      </c>
      <c r="AB855" s="542" t="s">
        <v>466</v>
      </c>
      <c r="AC855" s="454">
        <v>600</v>
      </c>
      <c r="AD855" s="669">
        <f>AD856</f>
        <v>289.89999999999998</v>
      </c>
      <c r="AE855" s="633">
        <f>AE856</f>
        <v>0</v>
      </c>
      <c r="AF855" s="643">
        <f>AF856</f>
        <v>0</v>
      </c>
    </row>
    <row r="856" spans="24:32" s="3" customFormat="1" x14ac:dyDescent="0.25">
      <c r="X856" s="451" t="s">
        <v>61</v>
      </c>
      <c r="Y856" s="452" t="s">
        <v>413</v>
      </c>
      <c r="Z856" s="453">
        <v>10</v>
      </c>
      <c r="AA856" s="453" t="s">
        <v>49</v>
      </c>
      <c r="AB856" s="542" t="s">
        <v>466</v>
      </c>
      <c r="AC856" s="454">
        <v>610</v>
      </c>
      <c r="AD856" s="669">
        <f>826-536.1</f>
        <v>289.89999999999998</v>
      </c>
      <c r="AE856" s="633">
        <f>826-826</f>
        <v>0</v>
      </c>
      <c r="AF856" s="643">
        <f>826-826</f>
        <v>0</v>
      </c>
    </row>
    <row r="857" spans="24:32" s="3" customFormat="1" ht="32.25" x14ac:dyDescent="0.3">
      <c r="X857" s="650" t="s">
        <v>414</v>
      </c>
      <c r="Y857" s="448" t="s">
        <v>415</v>
      </c>
      <c r="Z857" s="487"/>
      <c r="AA857" s="487"/>
      <c r="AB857" s="547"/>
      <c r="AC857" s="483"/>
      <c r="AD857" s="668">
        <f>AD871+AD907+AD1061+AD1050+AD1086+AD858</f>
        <v>2351733.2000000002</v>
      </c>
      <c r="AE857" s="632">
        <f>AE871+AE907+AE1061+AE1050+AE1086+AE858</f>
        <v>914656.19999999984</v>
      </c>
      <c r="AF857" s="642">
        <f>AF871+AF907+AF1061+AF1050+AF1086+AF858</f>
        <v>754263.9</v>
      </c>
    </row>
    <row r="858" spans="24:32" s="3" customFormat="1" ht="18.75" x14ac:dyDescent="0.3">
      <c r="X858" s="650" t="s">
        <v>25</v>
      </c>
      <c r="Y858" s="448" t="s">
        <v>415</v>
      </c>
      <c r="Z858" s="449" t="s">
        <v>29</v>
      </c>
      <c r="AA858" s="487"/>
      <c r="AB858" s="547"/>
      <c r="AC858" s="483"/>
      <c r="AD858" s="669">
        <f t="shared" ref="AD858:AD863" si="267">AD859</f>
        <v>1700</v>
      </c>
      <c r="AE858" s="633">
        <f t="shared" ref="AE858:AF858" si="268">AE859</f>
        <v>2700</v>
      </c>
      <c r="AF858" s="643">
        <f t="shared" si="268"/>
        <v>200</v>
      </c>
    </row>
    <row r="859" spans="24:32" s="3" customFormat="1" ht="18.75" x14ac:dyDescent="0.3">
      <c r="X859" s="457" t="s">
        <v>186</v>
      </c>
      <c r="Y859" s="452" t="s">
        <v>415</v>
      </c>
      <c r="Z859" s="453" t="s">
        <v>29</v>
      </c>
      <c r="AA859" s="453">
        <v>13</v>
      </c>
      <c r="AB859" s="542" t="s">
        <v>112</v>
      </c>
      <c r="AC859" s="483"/>
      <c r="AD859" s="669">
        <f>AD860+AD865</f>
        <v>1700</v>
      </c>
      <c r="AE859" s="669">
        <f t="shared" ref="AE859:AF859" si="269">AE860+AE865</f>
        <v>2700</v>
      </c>
      <c r="AF859" s="669">
        <f t="shared" si="269"/>
        <v>200</v>
      </c>
    </row>
    <row r="860" spans="24:32" s="3" customFormat="1" ht="18.75" x14ac:dyDescent="0.3">
      <c r="X860" s="656" t="s">
        <v>529</v>
      </c>
      <c r="Y860" s="452" t="s">
        <v>415</v>
      </c>
      <c r="Z860" s="453" t="s">
        <v>29</v>
      </c>
      <c r="AA860" s="453">
        <v>13</v>
      </c>
      <c r="AB860" s="542" t="s">
        <v>113</v>
      </c>
      <c r="AC860" s="483"/>
      <c r="AD860" s="669">
        <f t="shared" si="267"/>
        <v>1700</v>
      </c>
      <c r="AE860" s="633">
        <f t="shared" ref="AE860:AF860" si="270">AE861</f>
        <v>200</v>
      </c>
      <c r="AF860" s="643">
        <f t="shared" si="270"/>
        <v>200</v>
      </c>
    </row>
    <row r="861" spans="24:32" s="3" customFormat="1" ht="32.25" x14ac:dyDescent="0.3">
      <c r="X861" s="466" t="s">
        <v>182</v>
      </c>
      <c r="Y861" s="452" t="s">
        <v>415</v>
      </c>
      <c r="Z861" s="453" t="s">
        <v>29</v>
      </c>
      <c r="AA861" s="453">
        <v>13</v>
      </c>
      <c r="AB861" s="542" t="s">
        <v>183</v>
      </c>
      <c r="AC861" s="483"/>
      <c r="AD861" s="669">
        <f t="shared" si="267"/>
        <v>1700</v>
      </c>
      <c r="AE861" s="633">
        <f t="shared" ref="AE861:AF861" si="271">AE862</f>
        <v>200</v>
      </c>
      <c r="AF861" s="643">
        <f t="shared" si="271"/>
        <v>200</v>
      </c>
    </row>
    <row r="862" spans="24:32" s="3" customFormat="1" ht="32.25" x14ac:dyDescent="0.3">
      <c r="X862" s="465" t="s">
        <v>771</v>
      </c>
      <c r="Y862" s="452" t="s">
        <v>415</v>
      </c>
      <c r="Z862" s="453" t="s">
        <v>29</v>
      </c>
      <c r="AA862" s="453">
        <v>13</v>
      </c>
      <c r="AB862" s="542" t="s">
        <v>185</v>
      </c>
      <c r="AC862" s="483"/>
      <c r="AD862" s="669">
        <f t="shared" si="267"/>
        <v>1700</v>
      </c>
      <c r="AE862" s="633">
        <f t="shared" ref="AE862:AF862" si="272">AE863</f>
        <v>200</v>
      </c>
      <c r="AF862" s="643">
        <f t="shared" si="272"/>
        <v>200</v>
      </c>
    </row>
    <row r="863" spans="24:32" s="3" customFormat="1" x14ac:dyDescent="0.25">
      <c r="X863" s="451" t="s">
        <v>120</v>
      </c>
      <c r="Y863" s="452" t="s">
        <v>415</v>
      </c>
      <c r="Z863" s="453" t="s">
        <v>29</v>
      </c>
      <c r="AA863" s="453">
        <v>13</v>
      </c>
      <c r="AB863" s="542" t="s">
        <v>185</v>
      </c>
      <c r="AC863" s="454">
        <v>200</v>
      </c>
      <c r="AD863" s="669">
        <f t="shared" si="267"/>
        <v>1700</v>
      </c>
      <c r="AE863" s="633">
        <f t="shared" ref="AE863:AF863" si="273">AE864</f>
        <v>200</v>
      </c>
      <c r="AF863" s="643">
        <f t="shared" si="273"/>
        <v>200</v>
      </c>
    </row>
    <row r="864" spans="24:32" s="3" customFormat="1" ht="31.5" x14ac:dyDescent="0.25">
      <c r="X864" s="451" t="s">
        <v>52</v>
      </c>
      <c r="Y864" s="452" t="s">
        <v>415</v>
      </c>
      <c r="Z864" s="453" t="s">
        <v>29</v>
      </c>
      <c r="AA864" s="453">
        <v>13</v>
      </c>
      <c r="AB864" s="542" t="s">
        <v>185</v>
      </c>
      <c r="AC864" s="454">
        <v>240</v>
      </c>
      <c r="AD864" s="669">
        <f>200+500+1000</f>
        <v>1700</v>
      </c>
      <c r="AE864" s="633">
        <v>200</v>
      </c>
      <c r="AF864" s="643">
        <v>200</v>
      </c>
    </row>
    <row r="865" spans="24:32" s="3" customFormat="1" x14ac:dyDescent="0.25">
      <c r="X865" s="457" t="s">
        <v>189</v>
      </c>
      <c r="Y865" s="452" t="s">
        <v>415</v>
      </c>
      <c r="Z865" s="453" t="s">
        <v>29</v>
      </c>
      <c r="AA865" s="453">
        <v>13</v>
      </c>
      <c r="AB865" s="542" t="s">
        <v>190</v>
      </c>
      <c r="AC865" s="454"/>
      <c r="AD865" s="669">
        <f>AD866</f>
        <v>0</v>
      </c>
      <c r="AE865" s="669">
        <f t="shared" ref="AE865:AF866" si="274">AE866</f>
        <v>2500</v>
      </c>
      <c r="AF865" s="669">
        <f t="shared" si="274"/>
        <v>0</v>
      </c>
    </row>
    <row r="866" spans="24:32" s="3" customFormat="1" ht="31.5" x14ac:dyDescent="0.25">
      <c r="X866" s="457" t="s">
        <v>191</v>
      </c>
      <c r="Y866" s="452" t="s">
        <v>415</v>
      </c>
      <c r="Z866" s="453" t="s">
        <v>29</v>
      </c>
      <c r="AA866" s="453">
        <v>13</v>
      </c>
      <c r="AB866" s="542" t="s">
        <v>192</v>
      </c>
      <c r="AC866" s="454"/>
      <c r="AD866" s="669">
        <f>AD867</f>
        <v>0</v>
      </c>
      <c r="AE866" s="669">
        <f t="shared" si="274"/>
        <v>2500</v>
      </c>
      <c r="AF866" s="669">
        <f t="shared" si="274"/>
        <v>0</v>
      </c>
    </row>
    <row r="867" spans="24:32" s="3" customFormat="1" x14ac:dyDescent="0.25">
      <c r="X867" s="457" t="s">
        <v>195</v>
      </c>
      <c r="Y867" s="452" t="s">
        <v>415</v>
      </c>
      <c r="Z867" s="453" t="s">
        <v>29</v>
      </c>
      <c r="AA867" s="453">
        <v>13</v>
      </c>
      <c r="AB867" s="542" t="s">
        <v>196</v>
      </c>
      <c r="AC867" s="454"/>
      <c r="AD867" s="669">
        <f>AD868</f>
        <v>0</v>
      </c>
      <c r="AE867" s="669">
        <f t="shared" ref="AE867:AF869" si="275">AE868</f>
        <v>2500</v>
      </c>
      <c r="AF867" s="669">
        <f t="shared" si="275"/>
        <v>0</v>
      </c>
    </row>
    <row r="868" spans="24:32" s="3" customFormat="1" ht="31.5" x14ac:dyDescent="0.25">
      <c r="X868" s="451" t="s">
        <v>197</v>
      </c>
      <c r="Y868" s="452" t="s">
        <v>415</v>
      </c>
      <c r="Z868" s="453" t="s">
        <v>29</v>
      </c>
      <c r="AA868" s="453">
        <v>13</v>
      </c>
      <c r="AB868" s="542" t="s">
        <v>198</v>
      </c>
      <c r="AC868" s="454"/>
      <c r="AD868" s="669">
        <f>AD869</f>
        <v>0</v>
      </c>
      <c r="AE868" s="669">
        <f t="shared" si="275"/>
        <v>2500</v>
      </c>
      <c r="AF868" s="669">
        <f t="shared" si="275"/>
        <v>0</v>
      </c>
    </row>
    <row r="869" spans="24:32" s="3" customFormat="1" x14ac:dyDescent="0.25">
      <c r="X869" s="451" t="s">
        <v>120</v>
      </c>
      <c r="Y869" s="452" t="s">
        <v>415</v>
      </c>
      <c r="Z869" s="453" t="s">
        <v>29</v>
      </c>
      <c r="AA869" s="453">
        <v>13</v>
      </c>
      <c r="AB869" s="542" t="s">
        <v>198</v>
      </c>
      <c r="AC869" s="454">
        <v>200</v>
      </c>
      <c r="AD869" s="669">
        <f>AD870</f>
        <v>0</v>
      </c>
      <c r="AE869" s="669">
        <f t="shared" si="275"/>
        <v>2500</v>
      </c>
      <c r="AF869" s="669">
        <f t="shared" si="275"/>
        <v>0</v>
      </c>
    </row>
    <row r="870" spans="24:32" s="3" customFormat="1" ht="31.5" x14ac:dyDescent="0.25">
      <c r="X870" s="451" t="s">
        <v>52</v>
      </c>
      <c r="Y870" s="452" t="s">
        <v>415</v>
      </c>
      <c r="Z870" s="453" t="s">
        <v>29</v>
      </c>
      <c r="AA870" s="453">
        <v>13</v>
      </c>
      <c r="AB870" s="542" t="s">
        <v>198</v>
      </c>
      <c r="AC870" s="454">
        <v>240</v>
      </c>
      <c r="AD870" s="669">
        <v>0</v>
      </c>
      <c r="AE870" s="633">
        <v>2500</v>
      </c>
      <c r="AF870" s="643">
        <v>0</v>
      </c>
    </row>
    <row r="871" spans="24:32" s="3" customFormat="1" ht="18.75" x14ac:dyDescent="0.3">
      <c r="X871" s="650" t="s">
        <v>45</v>
      </c>
      <c r="Y871" s="448" t="s">
        <v>415</v>
      </c>
      <c r="Z871" s="471" t="s">
        <v>49</v>
      </c>
      <c r="AA871" s="552"/>
      <c r="AB871" s="553"/>
      <c r="AC871" s="484"/>
      <c r="AD871" s="668">
        <f>AD872+AD881</f>
        <v>71396</v>
      </c>
      <c r="AE871" s="632">
        <f>AE872+AE881</f>
        <v>59154</v>
      </c>
      <c r="AF871" s="642">
        <f>AF872+AF881</f>
        <v>67016</v>
      </c>
    </row>
    <row r="872" spans="24:32" s="3" customFormat="1" ht="18.75" x14ac:dyDescent="0.3">
      <c r="X872" s="451" t="s">
        <v>15</v>
      </c>
      <c r="Y872" s="452" t="s">
        <v>415</v>
      </c>
      <c r="Z872" s="474" t="s">
        <v>49</v>
      </c>
      <c r="AA872" s="453" t="s">
        <v>5</v>
      </c>
      <c r="AB872" s="553"/>
      <c r="AC872" s="484"/>
      <c r="AD872" s="669">
        <f t="shared" ref="AD872:AF879" si="276">AD873</f>
        <v>919</v>
      </c>
      <c r="AE872" s="633">
        <f t="shared" si="276"/>
        <v>919</v>
      </c>
      <c r="AF872" s="643">
        <f t="shared" si="276"/>
        <v>919</v>
      </c>
    </row>
    <row r="873" spans="24:32" s="3" customFormat="1" ht="18.75" x14ac:dyDescent="0.3">
      <c r="X873" s="459" t="s">
        <v>238</v>
      </c>
      <c r="Y873" s="452" t="s">
        <v>415</v>
      </c>
      <c r="Z873" s="474" t="s">
        <v>49</v>
      </c>
      <c r="AA873" s="453" t="s">
        <v>5</v>
      </c>
      <c r="AB873" s="542" t="s">
        <v>138</v>
      </c>
      <c r="AC873" s="484"/>
      <c r="AD873" s="669">
        <f t="shared" si="276"/>
        <v>919</v>
      </c>
      <c r="AE873" s="633">
        <f t="shared" si="276"/>
        <v>919</v>
      </c>
      <c r="AF873" s="643">
        <f t="shared" si="276"/>
        <v>919</v>
      </c>
    </row>
    <row r="874" spans="24:32" s="3" customFormat="1" ht="31.5" x14ac:dyDescent="0.3">
      <c r="X874" s="653" t="s">
        <v>524</v>
      </c>
      <c r="Y874" s="452" t="s">
        <v>415</v>
      </c>
      <c r="Z874" s="474" t="s">
        <v>49</v>
      </c>
      <c r="AA874" s="453" t="s">
        <v>5</v>
      </c>
      <c r="AB874" s="542" t="s">
        <v>239</v>
      </c>
      <c r="AC874" s="484"/>
      <c r="AD874" s="669">
        <f t="shared" si="276"/>
        <v>919</v>
      </c>
      <c r="AE874" s="633">
        <f t="shared" si="276"/>
        <v>919</v>
      </c>
      <c r="AF874" s="643">
        <f t="shared" si="276"/>
        <v>919</v>
      </c>
    </row>
    <row r="875" spans="24:32" s="3" customFormat="1" ht="18.75" x14ac:dyDescent="0.3">
      <c r="X875" s="459" t="s">
        <v>525</v>
      </c>
      <c r="Y875" s="452" t="s">
        <v>415</v>
      </c>
      <c r="Z875" s="474" t="s">
        <v>49</v>
      </c>
      <c r="AA875" s="453" t="s">
        <v>5</v>
      </c>
      <c r="AB875" s="542" t="s">
        <v>240</v>
      </c>
      <c r="AC875" s="484"/>
      <c r="AD875" s="669">
        <f t="shared" si="276"/>
        <v>919</v>
      </c>
      <c r="AE875" s="633">
        <f t="shared" si="276"/>
        <v>919</v>
      </c>
      <c r="AF875" s="643">
        <f t="shared" si="276"/>
        <v>919</v>
      </c>
    </row>
    <row r="876" spans="24:32" s="3" customFormat="1" ht="31.5" x14ac:dyDescent="0.25">
      <c r="X876" s="459" t="s">
        <v>421</v>
      </c>
      <c r="Y876" s="452" t="s">
        <v>415</v>
      </c>
      <c r="Z876" s="474" t="s">
        <v>49</v>
      </c>
      <c r="AA876" s="453" t="s">
        <v>5</v>
      </c>
      <c r="AB876" s="542" t="s">
        <v>241</v>
      </c>
      <c r="AC876" s="454"/>
      <c r="AD876" s="669">
        <f>AD879+AD877</f>
        <v>919</v>
      </c>
      <c r="AE876" s="633">
        <f>AE879</f>
        <v>919</v>
      </c>
      <c r="AF876" s="643">
        <f>AF879</f>
        <v>919</v>
      </c>
    </row>
    <row r="877" spans="24:32" s="3" customFormat="1" ht="47.25" x14ac:dyDescent="0.25">
      <c r="X877" s="451" t="s">
        <v>41</v>
      </c>
      <c r="Y877" s="452" t="s">
        <v>415</v>
      </c>
      <c r="Z877" s="474" t="s">
        <v>49</v>
      </c>
      <c r="AA877" s="453" t="s">
        <v>5</v>
      </c>
      <c r="AB877" s="542" t="s">
        <v>241</v>
      </c>
      <c r="AC877" s="454">
        <v>100</v>
      </c>
      <c r="AD877" s="669">
        <f>AD878</f>
        <v>307</v>
      </c>
      <c r="AE877" s="669">
        <f t="shared" ref="AE877:AF877" si="277">AE878</f>
        <v>0</v>
      </c>
      <c r="AF877" s="669">
        <f t="shared" si="277"/>
        <v>0</v>
      </c>
    </row>
    <row r="878" spans="24:32" s="3" customFormat="1" x14ac:dyDescent="0.25">
      <c r="X878" s="451" t="s">
        <v>96</v>
      </c>
      <c r="Y878" s="452" t="s">
        <v>415</v>
      </c>
      <c r="Z878" s="474" t="s">
        <v>49</v>
      </c>
      <c r="AA878" s="453" t="s">
        <v>5</v>
      </c>
      <c r="AB878" s="542" t="s">
        <v>241</v>
      </c>
      <c r="AC878" s="454">
        <v>120</v>
      </c>
      <c r="AD878" s="669">
        <v>307</v>
      </c>
      <c r="AE878" s="633">
        <v>0</v>
      </c>
      <c r="AF878" s="643">
        <v>0</v>
      </c>
    </row>
    <row r="879" spans="24:32" s="3" customFormat="1" x14ac:dyDescent="0.25">
      <c r="X879" s="451" t="s">
        <v>120</v>
      </c>
      <c r="Y879" s="452" t="s">
        <v>415</v>
      </c>
      <c r="Z879" s="474" t="s">
        <v>49</v>
      </c>
      <c r="AA879" s="453" t="s">
        <v>5</v>
      </c>
      <c r="AB879" s="542" t="s">
        <v>241</v>
      </c>
      <c r="AC879" s="482">
        <v>200</v>
      </c>
      <c r="AD879" s="669">
        <f t="shared" si="276"/>
        <v>612</v>
      </c>
      <c r="AE879" s="633">
        <f t="shared" si="276"/>
        <v>919</v>
      </c>
      <c r="AF879" s="643">
        <f t="shared" si="276"/>
        <v>919</v>
      </c>
    </row>
    <row r="880" spans="24:32" s="3" customFormat="1" ht="31.5" x14ac:dyDescent="0.25">
      <c r="X880" s="451" t="s">
        <v>52</v>
      </c>
      <c r="Y880" s="452" t="s">
        <v>415</v>
      </c>
      <c r="Z880" s="474" t="s">
        <v>49</v>
      </c>
      <c r="AA880" s="453" t="s">
        <v>5</v>
      </c>
      <c r="AB880" s="542" t="s">
        <v>241</v>
      </c>
      <c r="AC880" s="454">
        <v>240</v>
      </c>
      <c r="AD880" s="669">
        <f>919-307</f>
        <v>612</v>
      </c>
      <c r="AE880" s="633">
        <v>919</v>
      </c>
      <c r="AF880" s="643">
        <v>919</v>
      </c>
    </row>
    <row r="881" spans="24:32" s="3" customFormat="1" ht="18.75" x14ac:dyDescent="0.3">
      <c r="X881" s="451" t="s">
        <v>93</v>
      </c>
      <c r="Y881" s="452" t="s">
        <v>415</v>
      </c>
      <c r="Z881" s="453" t="s">
        <v>49</v>
      </c>
      <c r="AA881" s="453" t="s">
        <v>22</v>
      </c>
      <c r="AB881" s="547"/>
      <c r="AC881" s="483"/>
      <c r="AD881" s="669">
        <f>AD882+AD901</f>
        <v>70477</v>
      </c>
      <c r="AE881" s="633">
        <f>AE882+AE901</f>
        <v>58235</v>
      </c>
      <c r="AF881" s="643">
        <f>AF882+AF901</f>
        <v>66097</v>
      </c>
    </row>
    <row r="882" spans="24:32" s="3" customFormat="1" ht="31.5" x14ac:dyDescent="0.25">
      <c r="X882" s="457" t="s">
        <v>226</v>
      </c>
      <c r="Y882" s="452" t="s">
        <v>415</v>
      </c>
      <c r="Z882" s="453" t="s">
        <v>49</v>
      </c>
      <c r="AA882" s="453" t="s">
        <v>22</v>
      </c>
      <c r="AB882" s="542" t="s">
        <v>227</v>
      </c>
      <c r="AC882" s="454"/>
      <c r="AD882" s="669">
        <f>AD883+AD896+AD888</f>
        <v>63189</v>
      </c>
      <c r="AE882" s="669">
        <f t="shared" ref="AE882:AF882" si="278">AE883+AE896+AE888</f>
        <v>50655</v>
      </c>
      <c r="AF882" s="669">
        <f t="shared" si="278"/>
        <v>58214</v>
      </c>
    </row>
    <row r="883" spans="24:32" s="3" customFormat="1" x14ac:dyDescent="0.25">
      <c r="X883" s="457" t="s">
        <v>231</v>
      </c>
      <c r="Y883" s="452" t="s">
        <v>415</v>
      </c>
      <c r="Z883" s="453" t="s">
        <v>49</v>
      </c>
      <c r="AA883" s="453" t="s">
        <v>22</v>
      </c>
      <c r="AB883" s="542" t="s">
        <v>232</v>
      </c>
      <c r="AC883" s="454"/>
      <c r="AD883" s="669">
        <f>AD892+AD884</f>
        <v>36903</v>
      </c>
      <c r="AE883" s="669">
        <f t="shared" ref="AE883:AF883" si="279">AE892+AE884</f>
        <v>39565</v>
      </c>
      <c r="AF883" s="669">
        <f t="shared" si="279"/>
        <v>41464</v>
      </c>
    </row>
    <row r="884" spans="24:32" s="3" customFormat="1" ht="35.25" customHeight="1" x14ac:dyDescent="0.25">
      <c r="X884" s="457" t="s">
        <v>879</v>
      </c>
      <c r="Y884" s="452" t="s">
        <v>415</v>
      </c>
      <c r="Z884" s="453" t="s">
        <v>49</v>
      </c>
      <c r="AA884" s="453" t="s">
        <v>22</v>
      </c>
      <c r="AB884" s="542" t="s">
        <v>878</v>
      </c>
      <c r="AC884" s="454"/>
      <c r="AD884" s="669">
        <f>AD885</f>
        <v>12000</v>
      </c>
      <c r="AE884" s="669">
        <f t="shared" ref="AE884:AF886" si="280">AE885</f>
        <v>0</v>
      </c>
      <c r="AF884" s="669">
        <f t="shared" si="280"/>
        <v>0</v>
      </c>
    </row>
    <row r="885" spans="24:32" s="3" customFormat="1" ht="30.75" customHeight="1" x14ac:dyDescent="0.25">
      <c r="X885" s="457" t="s">
        <v>880</v>
      </c>
      <c r="Y885" s="452" t="s">
        <v>415</v>
      </c>
      <c r="Z885" s="453" t="s">
        <v>49</v>
      </c>
      <c r="AA885" s="453" t="s">
        <v>22</v>
      </c>
      <c r="AB885" s="542" t="s">
        <v>881</v>
      </c>
      <c r="AC885" s="454"/>
      <c r="AD885" s="669">
        <f>AD886</f>
        <v>12000</v>
      </c>
      <c r="AE885" s="669">
        <f t="shared" si="280"/>
        <v>0</v>
      </c>
      <c r="AF885" s="669">
        <f t="shared" si="280"/>
        <v>0</v>
      </c>
    </row>
    <row r="886" spans="24:32" s="3" customFormat="1" x14ac:dyDescent="0.25">
      <c r="X886" s="451" t="s">
        <v>120</v>
      </c>
      <c r="Y886" s="452" t="s">
        <v>415</v>
      </c>
      <c r="Z886" s="453" t="s">
        <v>49</v>
      </c>
      <c r="AA886" s="453" t="s">
        <v>22</v>
      </c>
      <c r="AB886" s="542" t="s">
        <v>881</v>
      </c>
      <c r="AC886" s="482">
        <v>200</v>
      </c>
      <c r="AD886" s="669">
        <f>AD887</f>
        <v>12000</v>
      </c>
      <c r="AE886" s="669">
        <f t="shared" si="280"/>
        <v>0</v>
      </c>
      <c r="AF886" s="669">
        <f t="shared" si="280"/>
        <v>0</v>
      </c>
    </row>
    <row r="887" spans="24:32" s="3" customFormat="1" ht="31.5" x14ac:dyDescent="0.25">
      <c r="X887" s="451" t="s">
        <v>52</v>
      </c>
      <c r="Y887" s="452" t="s">
        <v>415</v>
      </c>
      <c r="Z887" s="453" t="s">
        <v>49</v>
      </c>
      <c r="AA887" s="453" t="s">
        <v>22</v>
      </c>
      <c r="AB887" s="542" t="s">
        <v>881</v>
      </c>
      <c r="AC887" s="454">
        <v>240</v>
      </c>
      <c r="AD887" s="669">
        <f>12000</f>
        <v>12000</v>
      </c>
      <c r="AE887" s="633">
        <v>0</v>
      </c>
      <c r="AF887" s="643">
        <v>0</v>
      </c>
    </row>
    <row r="888" spans="24:32" s="3" customFormat="1" ht="22.5" customHeight="1" x14ac:dyDescent="0.25">
      <c r="X888" s="451" t="s">
        <v>893</v>
      </c>
      <c r="Y888" s="452" t="s">
        <v>415</v>
      </c>
      <c r="Z888" s="453" t="s">
        <v>49</v>
      </c>
      <c r="AA888" s="453" t="s">
        <v>22</v>
      </c>
      <c r="AB888" s="542" t="s">
        <v>895</v>
      </c>
      <c r="AC888" s="454"/>
      <c r="AD888" s="669">
        <f>AD889</f>
        <v>0</v>
      </c>
      <c r="AE888" s="669">
        <f t="shared" ref="AE888:AF890" si="281">AE889</f>
        <v>2500</v>
      </c>
      <c r="AF888" s="669">
        <f t="shared" si="281"/>
        <v>0</v>
      </c>
    </row>
    <row r="889" spans="24:32" s="3" customFormat="1" ht="31.5" x14ac:dyDescent="0.25">
      <c r="X889" s="451" t="s">
        <v>894</v>
      </c>
      <c r="Y889" s="452" t="s">
        <v>415</v>
      </c>
      <c r="Z889" s="453" t="s">
        <v>49</v>
      </c>
      <c r="AA889" s="453" t="s">
        <v>22</v>
      </c>
      <c r="AB889" s="542" t="s">
        <v>896</v>
      </c>
      <c r="AC889" s="454"/>
      <c r="AD889" s="669">
        <f>AD890</f>
        <v>0</v>
      </c>
      <c r="AE889" s="669">
        <f t="shared" si="281"/>
        <v>2500</v>
      </c>
      <c r="AF889" s="669">
        <f t="shared" si="281"/>
        <v>0</v>
      </c>
    </row>
    <row r="890" spans="24:32" s="3" customFormat="1" ht="25.5" customHeight="1" x14ac:dyDescent="0.25">
      <c r="X890" s="451" t="s">
        <v>120</v>
      </c>
      <c r="Y890" s="452" t="s">
        <v>415</v>
      </c>
      <c r="Z890" s="453" t="s">
        <v>49</v>
      </c>
      <c r="AA890" s="453" t="s">
        <v>22</v>
      </c>
      <c r="AB890" s="542" t="s">
        <v>896</v>
      </c>
      <c r="AC890" s="482">
        <v>200</v>
      </c>
      <c r="AD890" s="669">
        <f>AD891</f>
        <v>0</v>
      </c>
      <c r="AE890" s="669">
        <f t="shared" si="281"/>
        <v>2500</v>
      </c>
      <c r="AF890" s="669">
        <f t="shared" si="281"/>
        <v>0</v>
      </c>
    </row>
    <row r="891" spans="24:32" s="3" customFormat="1" ht="31.5" x14ac:dyDescent="0.25">
      <c r="X891" s="451" t="s">
        <v>52</v>
      </c>
      <c r="Y891" s="452" t="s">
        <v>415</v>
      </c>
      <c r="Z891" s="453" t="s">
        <v>49</v>
      </c>
      <c r="AA891" s="453" t="s">
        <v>22</v>
      </c>
      <c r="AB891" s="542" t="s">
        <v>896</v>
      </c>
      <c r="AC891" s="454">
        <v>240</v>
      </c>
      <c r="AD891" s="669">
        <v>0</v>
      </c>
      <c r="AE891" s="633">
        <v>2500</v>
      </c>
      <c r="AF891" s="643">
        <v>0</v>
      </c>
    </row>
    <row r="892" spans="24:32" s="3" customFormat="1" ht="31.5" x14ac:dyDescent="0.25">
      <c r="X892" s="451" t="s">
        <v>714</v>
      </c>
      <c r="Y892" s="452" t="s">
        <v>415</v>
      </c>
      <c r="Z892" s="453" t="s">
        <v>49</v>
      </c>
      <c r="AA892" s="453" t="s">
        <v>22</v>
      </c>
      <c r="AB892" s="542" t="s">
        <v>501</v>
      </c>
      <c r="AC892" s="454"/>
      <c r="AD892" s="669">
        <f>AD893</f>
        <v>24903</v>
      </c>
      <c r="AE892" s="633">
        <f t="shared" ref="AE892:AF894" si="282">AE893</f>
        <v>39565</v>
      </c>
      <c r="AF892" s="643">
        <f t="shared" si="282"/>
        <v>41464</v>
      </c>
    </row>
    <row r="893" spans="24:32" s="3" customFormat="1" ht="31.5" x14ac:dyDescent="0.25">
      <c r="X893" s="451" t="s">
        <v>680</v>
      </c>
      <c r="Y893" s="452" t="s">
        <v>415</v>
      </c>
      <c r="Z893" s="453" t="s">
        <v>49</v>
      </c>
      <c r="AA893" s="453" t="s">
        <v>22</v>
      </c>
      <c r="AB893" s="542" t="s">
        <v>713</v>
      </c>
      <c r="AC893" s="454"/>
      <c r="AD893" s="669">
        <f>AD894</f>
        <v>24903</v>
      </c>
      <c r="AE893" s="633">
        <f t="shared" si="282"/>
        <v>39565</v>
      </c>
      <c r="AF893" s="643">
        <f t="shared" si="282"/>
        <v>41464</v>
      </c>
    </row>
    <row r="894" spans="24:32" s="3" customFormat="1" x14ac:dyDescent="0.25">
      <c r="X894" s="451" t="s">
        <v>120</v>
      </c>
      <c r="Y894" s="452" t="s">
        <v>415</v>
      </c>
      <c r="Z894" s="472" t="s">
        <v>49</v>
      </c>
      <c r="AA894" s="472" t="s">
        <v>22</v>
      </c>
      <c r="AB894" s="542" t="s">
        <v>713</v>
      </c>
      <c r="AC894" s="454">
        <v>200</v>
      </c>
      <c r="AD894" s="669">
        <f>AD895</f>
        <v>24903</v>
      </c>
      <c r="AE894" s="633">
        <f t="shared" si="282"/>
        <v>39565</v>
      </c>
      <c r="AF894" s="643">
        <f t="shared" si="282"/>
        <v>41464</v>
      </c>
    </row>
    <row r="895" spans="24:32" s="3" customFormat="1" ht="31.5" x14ac:dyDescent="0.25">
      <c r="X895" s="451" t="s">
        <v>52</v>
      </c>
      <c r="Y895" s="452" t="s">
        <v>415</v>
      </c>
      <c r="Z895" s="472" t="s">
        <v>49</v>
      </c>
      <c r="AA895" s="472" t="s">
        <v>22</v>
      </c>
      <c r="AB895" s="542" t="s">
        <v>713</v>
      </c>
      <c r="AC895" s="454">
        <v>240</v>
      </c>
      <c r="AD895" s="669">
        <f>24903+6000-6000</f>
        <v>24903</v>
      </c>
      <c r="AE895" s="633">
        <f>26223+13342</f>
        <v>39565</v>
      </c>
      <c r="AF895" s="643">
        <f>27377+14087</f>
        <v>41464</v>
      </c>
    </row>
    <row r="896" spans="24:32" s="3" customFormat="1" x14ac:dyDescent="0.25">
      <c r="X896" s="465" t="s">
        <v>709</v>
      </c>
      <c r="Y896" s="452" t="s">
        <v>415</v>
      </c>
      <c r="Z896" s="472" t="s">
        <v>49</v>
      </c>
      <c r="AA896" s="472" t="s">
        <v>22</v>
      </c>
      <c r="AB896" s="542" t="s">
        <v>708</v>
      </c>
      <c r="AC896" s="454"/>
      <c r="AD896" s="669">
        <f t="shared" ref="AD896:AF898" si="283">AD897</f>
        <v>26286</v>
      </c>
      <c r="AE896" s="633">
        <f t="shared" si="283"/>
        <v>8590</v>
      </c>
      <c r="AF896" s="643">
        <f t="shared" si="283"/>
        <v>16750</v>
      </c>
    </row>
    <row r="897" spans="24:32" s="3" customFormat="1" x14ac:dyDescent="0.25">
      <c r="X897" s="451" t="s">
        <v>710</v>
      </c>
      <c r="Y897" s="452" t="s">
        <v>415</v>
      </c>
      <c r="Z897" s="472" t="s">
        <v>49</v>
      </c>
      <c r="AA897" s="472" t="s">
        <v>22</v>
      </c>
      <c r="AB897" s="542" t="s">
        <v>711</v>
      </c>
      <c r="AC897" s="454"/>
      <c r="AD897" s="669">
        <f t="shared" si="283"/>
        <v>26286</v>
      </c>
      <c r="AE897" s="633">
        <f t="shared" si="283"/>
        <v>8590</v>
      </c>
      <c r="AF897" s="643">
        <f t="shared" si="283"/>
        <v>16750</v>
      </c>
    </row>
    <row r="898" spans="24:32" s="3" customFormat="1" x14ac:dyDescent="0.25">
      <c r="X898" s="451" t="s">
        <v>344</v>
      </c>
      <c r="Y898" s="452" t="s">
        <v>415</v>
      </c>
      <c r="Z898" s="472" t="s">
        <v>49</v>
      </c>
      <c r="AA898" s="472" t="s">
        <v>22</v>
      </c>
      <c r="AB898" s="542" t="s">
        <v>712</v>
      </c>
      <c r="AC898" s="454"/>
      <c r="AD898" s="669">
        <f>AD899</f>
        <v>26286</v>
      </c>
      <c r="AE898" s="633">
        <f t="shared" si="283"/>
        <v>8590</v>
      </c>
      <c r="AF898" s="643">
        <f t="shared" si="283"/>
        <v>16750</v>
      </c>
    </row>
    <row r="899" spans="24:32" s="3" customFormat="1" x14ac:dyDescent="0.25">
      <c r="X899" s="451" t="s">
        <v>120</v>
      </c>
      <c r="Y899" s="452" t="s">
        <v>415</v>
      </c>
      <c r="Z899" s="472" t="s">
        <v>49</v>
      </c>
      <c r="AA899" s="472" t="s">
        <v>22</v>
      </c>
      <c r="AB899" s="542" t="s">
        <v>712</v>
      </c>
      <c r="AC899" s="454">
        <v>200</v>
      </c>
      <c r="AD899" s="669">
        <f t="shared" ref="AD899:AF899" si="284">AD900</f>
        <v>26286</v>
      </c>
      <c r="AE899" s="633">
        <f t="shared" si="284"/>
        <v>8590</v>
      </c>
      <c r="AF899" s="643">
        <f t="shared" si="284"/>
        <v>16750</v>
      </c>
    </row>
    <row r="900" spans="24:32" s="3" customFormat="1" ht="31.5" x14ac:dyDescent="0.25">
      <c r="X900" s="451" t="s">
        <v>52</v>
      </c>
      <c r="Y900" s="452" t="s">
        <v>415</v>
      </c>
      <c r="Z900" s="472" t="s">
        <v>49</v>
      </c>
      <c r="AA900" s="472" t="s">
        <v>22</v>
      </c>
      <c r="AB900" s="542" t="s">
        <v>712</v>
      </c>
      <c r="AC900" s="454">
        <v>240</v>
      </c>
      <c r="AD900" s="669">
        <f>15486-6000+3300+3000+4200+1800+4500</f>
        <v>26286</v>
      </c>
      <c r="AE900" s="633">
        <f>16090-7500</f>
        <v>8590</v>
      </c>
      <c r="AF900" s="643">
        <v>16750</v>
      </c>
    </row>
    <row r="901" spans="24:32" s="3" customFormat="1" x14ac:dyDescent="0.25">
      <c r="X901" s="457" t="s">
        <v>242</v>
      </c>
      <c r="Y901" s="452" t="s">
        <v>415</v>
      </c>
      <c r="Z901" s="472" t="s">
        <v>49</v>
      </c>
      <c r="AA901" s="472" t="s">
        <v>22</v>
      </c>
      <c r="AB901" s="542" t="s">
        <v>243</v>
      </c>
      <c r="AC901" s="454"/>
      <c r="AD901" s="669">
        <f>AD902</f>
        <v>7288</v>
      </c>
      <c r="AE901" s="633">
        <f>AE902</f>
        <v>7580</v>
      </c>
      <c r="AF901" s="643">
        <f>AF902</f>
        <v>7883</v>
      </c>
    </row>
    <row r="902" spans="24:32" s="3" customFormat="1" ht="31.5" x14ac:dyDescent="0.25">
      <c r="X902" s="656" t="s">
        <v>539</v>
      </c>
      <c r="Y902" s="452" t="s">
        <v>415</v>
      </c>
      <c r="Z902" s="472" t="s">
        <v>49</v>
      </c>
      <c r="AA902" s="472" t="s">
        <v>22</v>
      </c>
      <c r="AB902" s="542" t="s">
        <v>244</v>
      </c>
      <c r="AC902" s="473"/>
      <c r="AD902" s="669">
        <f>AD903</f>
        <v>7288</v>
      </c>
      <c r="AE902" s="633">
        <f t="shared" ref="AE902:AF903" si="285">AE903</f>
        <v>7580</v>
      </c>
      <c r="AF902" s="643">
        <f t="shared" si="285"/>
        <v>7883</v>
      </c>
    </row>
    <row r="903" spans="24:32" s="3" customFormat="1" ht="31.5" x14ac:dyDescent="0.25">
      <c r="X903" s="466" t="s">
        <v>540</v>
      </c>
      <c r="Y903" s="452" t="s">
        <v>415</v>
      </c>
      <c r="Z903" s="472" t="s">
        <v>49</v>
      </c>
      <c r="AA903" s="472" t="s">
        <v>22</v>
      </c>
      <c r="AB903" s="542" t="s">
        <v>245</v>
      </c>
      <c r="AC903" s="454"/>
      <c r="AD903" s="669">
        <f>AD904</f>
        <v>7288</v>
      </c>
      <c r="AE903" s="633">
        <f t="shared" si="285"/>
        <v>7580</v>
      </c>
      <c r="AF903" s="643">
        <f t="shared" si="285"/>
        <v>7883</v>
      </c>
    </row>
    <row r="904" spans="24:32" s="3" customFormat="1" x14ac:dyDescent="0.25">
      <c r="X904" s="451" t="s">
        <v>440</v>
      </c>
      <c r="Y904" s="452" t="s">
        <v>415</v>
      </c>
      <c r="Z904" s="472" t="s">
        <v>49</v>
      </c>
      <c r="AA904" s="472" t="s">
        <v>22</v>
      </c>
      <c r="AB904" s="542" t="s">
        <v>707</v>
      </c>
      <c r="AC904" s="473"/>
      <c r="AD904" s="669">
        <f t="shared" ref="AD904:AF905" si="286">AD905</f>
        <v>7288</v>
      </c>
      <c r="AE904" s="633">
        <f t="shared" si="286"/>
        <v>7580</v>
      </c>
      <c r="AF904" s="643">
        <f t="shared" si="286"/>
        <v>7883</v>
      </c>
    </row>
    <row r="905" spans="24:32" s="3" customFormat="1" x14ac:dyDescent="0.25">
      <c r="X905" s="451" t="s">
        <v>120</v>
      </c>
      <c r="Y905" s="452" t="s">
        <v>415</v>
      </c>
      <c r="Z905" s="472" t="s">
        <v>49</v>
      </c>
      <c r="AA905" s="472" t="s">
        <v>22</v>
      </c>
      <c r="AB905" s="542" t="s">
        <v>707</v>
      </c>
      <c r="AC905" s="473" t="s">
        <v>37</v>
      </c>
      <c r="AD905" s="669">
        <f t="shared" si="286"/>
        <v>7288</v>
      </c>
      <c r="AE905" s="633">
        <f t="shared" si="286"/>
        <v>7580</v>
      </c>
      <c r="AF905" s="643">
        <f t="shared" si="286"/>
        <v>7883</v>
      </c>
    </row>
    <row r="906" spans="24:32" s="3" customFormat="1" ht="31.5" x14ac:dyDescent="0.25">
      <c r="X906" s="451" t="s">
        <v>52</v>
      </c>
      <c r="Y906" s="452" t="s">
        <v>415</v>
      </c>
      <c r="Z906" s="472" t="s">
        <v>49</v>
      </c>
      <c r="AA906" s="472" t="s">
        <v>22</v>
      </c>
      <c r="AB906" s="542" t="s">
        <v>707</v>
      </c>
      <c r="AC906" s="473" t="s">
        <v>65</v>
      </c>
      <c r="AD906" s="669">
        <v>7288</v>
      </c>
      <c r="AE906" s="633">
        <v>7580</v>
      </c>
      <c r="AF906" s="643">
        <v>7883</v>
      </c>
    </row>
    <row r="907" spans="24:32" s="3" customFormat="1" x14ac:dyDescent="0.25">
      <c r="X907" s="650" t="s">
        <v>3</v>
      </c>
      <c r="Y907" s="448" t="s">
        <v>415</v>
      </c>
      <c r="Z907" s="471" t="s">
        <v>5</v>
      </c>
      <c r="AA907" s="471"/>
      <c r="AB907" s="539"/>
      <c r="AC907" s="476"/>
      <c r="AD907" s="668">
        <f>AD971+AD1021+AD914+AD908</f>
        <v>1430951.4000000001</v>
      </c>
      <c r="AE907" s="632">
        <f>AE971+AE1021+AE914+AE908</f>
        <v>819050.29999999981</v>
      </c>
      <c r="AF907" s="642">
        <f>AF971+AF1021+AF914+AF908</f>
        <v>655895.9</v>
      </c>
    </row>
    <row r="908" spans="24:32" s="3" customFormat="1" x14ac:dyDescent="0.25">
      <c r="X908" s="273" t="s">
        <v>640</v>
      </c>
      <c r="Y908" s="452" t="s">
        <v>415</v>
      </c>
      <c r="Z908" s="453" t="s">
        <v>5</v>
      </c>
      <c r="AA908" s="453" t="s">
        <v>29</v>
      </c>
      <c r="AB908" s="542" t="s">
        <v>630</v>
      </c>
      <c r="AC908" s="473"/>
      <c r="AD908" s="669">
        <f>AD909</f>
        <v>790</v>
      </c>
      <c r="AE908" s="633">
        <f t="shared" ref="AE908:AF911" si="287">AE909</f>
        <v>0</v>
      </c>
      <c r="AF908" s="643">
        <f t="shared" si="287"/>
        <v>0</v>
      </c>
    </row>
    <row r="909" spans="24:32" s="3" customFormat="1" ht="31.5" x14ac:dyDescent="0.25">
      <c r="X909" s="273" t="s">
        <v>727</v>
      </c>
      <c r="Y909" s="452" t="s">
        <v>415</v>
      </c>
      <c r="Z909" s="453" t="s">
        <v>5</v>
      </c>
      <c r="AA909" s="453" t="s">
        <v>29</v>
      </c>
      <c r="AB909" s="409" t="s">
        <v>728</v>
      </c>
      <c r="AC909" s="185"/>
      <c r="AD909" s="669">
        <f>AD910</f>
        <v>790</v>
      </c>
      <c r="AE909" s="633">
        <f t="shared" si="287"/>
        <v>0</v>
      </c>
      <c r="AF909" s="643">
        <f t="shared" si="287"/>
        <v>0</v>
      </c>
    </row>
    <row r="910" spans="24:32" s="3" customFormat="1" x14ac:dyDescent="0.25">
      <c r="X910" s="275" t="s">
        <v>729</v>
      </c>
      <c r="Y910" s="452" t="s">
        <v>415</v>
      </c>
      <c r="Z910" s="453" t="s">
        <v>5</v>
      </c>
      <c r="AA910" s="453" t="s">
        <v>29</v>
      </c>
      <c r="AB910" s="409" t="s">
        <v>730</v>
      </c>
      <c r="AC910" s="185"/>
      <c r="AD910" s="669">
        <f>AD911</f>
        <v>790</v>
      </c>
      <c r="AE910" s="633">
        <f t="shared" si="287"/>
        <v>0</v>
      </c>
      <c r="AF910" s="643">
        <f t="shared" si="287"/>
        <v>0</v>
      </c>
    </row>
    <row r="911" spans="24:32" s="3" customFormat="1" ht="31.5" x14ac:dyDescent="0.25">
      <c r="X911" s="275" t="s">
        <v>731</v>
      </c>
      <c r="Y911" s="452" t="s">
        <v>415</v>
      </c>
      <c r="Z911" s="453" t="s">
        <v>5</v>
      </c>
      <c r="AA911" s="453" t="s">
        <v>29</v>
      </c>
      <c r="AB911" s="409" t="s">
        <v>732</v>
      </c>
      <c r="AC911" s="185"/>
      <c r="AD911" s="669">
        <f>AD912</f>
        <v>790</v>
      </c>
      <c r="AE911" s="633">
        <f t="shared" si="287"/>
        <v>0</v>
      </c>
      <c r="AF911" s="643">
        <f t="shared" si="287"/>
        <v>0</v>
      </c>
    </row>
    <row r="912" spans="24:32" s="3" customFormat="1" x14ac:dyDescent="0.25">
      <c r="X912" s="273" t="s">
        <v>120</v>
      </c>
      <c r="Y912" s="452" t="s">
        <v>415</v>
      </c>
      <c r="Z912" s="453" t="s">
        <v>5</v>
      </c>
      <c r="AA912" s="453" t="s">
        <v>29</v>
      </c>
      <c r="AB912" s="409" t="s">
        <v>732</v>
      </c>
      <c r="AC912" s="185" t="s">
        <v>37</v>
      </c>
      <c r="AD912" s="669">
        <f>AD913</f>
        <v>790</v>
      </c>
      <c r="AE912" s="633">
        <f>AE913</f>
        <v>0</v>
      </c>
      <c r="AF912" s="643">
        <f>AF913</f>
        <v>0</v>
      </c>
    </row>
    <row r="913" spans="24:32" s="3" customFormat="1" ht="31.5" x14ac:dyDescent="0.25">
      <c r="X913" s="273" t="s">
        <v>52</v>
      </c>
      <c r="Y913" s="452" t="s">
        <v>415</v>
      </c>
      <c r="Z913" s="453" t="s">
        <v>5</v>
      </c>
      <c r="AA913" s="453" t="s">
        <v>29</v>
      </c>
      <c r="AB913" s="409" t="s">
        <v>732</v>
      </c>
      <c r="AC913" s="185" t="s">
        <v>65</v>
      </c>
      <c r="AD913" s="669">
        <f>3000-2210</f>
        <v>790</v>
      </c>
      <c r="AE913" s="633">
        <v>0</v>
      </c>
      <c r="AF913" s="643">
        <v>0</v>
      </c>
    </row>
    <row r="914" spans="24:32" s="3" customFormat="1" x14ac:dyDescent="0.25">
      <c r="X914" s="451" t="s">
        <v>323</v>
      </c>
      <c r="Y914" s="452" t="s">
        <v>415</v>
      </c>
      <c r="Z914" s="453" t="s">
        <v>5</v>
      </c>
      <c r="AA914" s="453" t="s">
        <v>30</v>
      </c>
      <c r="AB914" s="477"/>
      <c r="AC914" s="473"/>
      <c r="AD914" s="669">
        <f>AD915+AD965</f>
        <v>838315.00000000012</v>
      </c>
      <c r="AE914" s="633">
        <f>AE915+AE965</f>
        <v>669118.09999999986</v>
      </c>
      <c r="AF914" s="643">
        <f>AF915+AF965</f>
        <v>240743.3</v>
      </c>
    </row>
    <row r="915" spans="24:32" s="3" customFormat="1" ht="31.5" x14ac:dyDescent="0.25">
      <c r="X915" s="451" t="s">
        <v>586</v>
      </c>
      <c r="Y915" s="452" t="s">
        <v>415</v>
      </c>
      <c r="Z915" s="453" t="s">
        <v>5</v>
      </c>
      <c r="AA915" s="453" t="s">
        <v>30</v>
      </c>
      <c r="AB915" s="542" t="s">
        <v>111</v>
      </c>
      <c r="AC915" s="473"/>
      <c r="AD915" s="669">
        <f>AD921+AD960+AD916</f>
        <v>837721.90000000014</v>
      </c>
      <c r="AE915" s="669">
        <f>AE921+AE960+AE916</f>
        <v>667598.49999999988</v>
      </c>
      <c r="AF915" s="669">
        <f>AF921+AF960+AF916</f>
        <v>240743.3</v>
      </c>
    </row>
    <row r="916" spans="24:32" s="3" customFormat="1" x14ac:dyDescent="0.25">
      <c r="X916" s="451" t="s">
        <v>865</v>
      </c>
      <c r="Y916" s="452" t="s">
        <v>415</v>
      </c>
      <c r="Z916" s="453" t="s">
        <v>5</v>
      </c>
      <c r="AA916" s="453" t="s">
        <v>30</v>
      </c>
      <c r="AB916" s="542" t="s">
        <v>589</v>
      </c>
      <c r="AC916" s="473"/>
      <c r="AD916" s="669">
        <f>AD917</f>
        <v>2500</v>
      </c>
      <c r="AE916" s="669">
        <f t="shared" ref="AE916:AF916" si="288">AE917</f>
        <v>0</v>
      </c>
      <c r="AF916" s="669">
        <f t="shared" si="288"/>
        <v>0</v>
      </c>
    </row>
    <row r="917" spans="24:32" s="3" customFormat="1" ht="51.75" customHeight="1" x14ac:dyDescent="0.25">
      <c r="X917" s="451" t="s">
        <v>867</v>
      </c>
      <c r="Y917" s="452" t="s">
        <v>415</v>
      </c>
      <c r="Z917" s="453" t="s">
        <v>5</v>
      </c>
      <c r="AA917" s="453" t="s">
        <v>30</v>
      </c>
      <c r="AB917" s="542" t="s">
        <v>866</v>
      </c>
      <c r="AC917" s="473"/>
      <c r="AD917" s="669">
        <f>AD918</f>
        <v>2500</v>
      </c>
      <c r="AE917" s="669">
        <f t="shared" ref="AE917:AF917" si="289">AE918</f>
        <v>0</v>
      </c>
      <c r="AF917" s="669">
        <f t="shared" si="289"/>
        <v>0</v>
      </c>
    </row>
    <row r="918" spans="24:32" s="3" customFormat="1" ht="47.25" x14ac:dyDescent="0.25">
      <c r="X918" s="451" t="s">
        <v>864</v>
      </c>
      <c r="Y918" s="452" t="s">
        <v>415</v>
      </c>
      <c r="Z918" s="453" t="s">
        <v>5</v>
      </c>
      <c r="AA918" s="453" t="s">
        <v>30</v>
      </c>
      <c r="AB918" s="542" t="s">
        <v>863</v>
      </c>
      <c r="AC918" s="473"/>
      <c r="AD918" s="669">
        <f>AD919</f>
        <v>2500</v>
      </c>
      <c r="AE918" s="669">
        <f t="shared" ref="AE918:AF919" si="290">AE919</f>
        <v>0</v>
      </c>
      <c r="AF918" s="669">
        <f t="shared" si="290"/>
        <v>0</v>
      </c>
    </row>
    <row r="919" spans="24:32" s="3" customFormat="1" x14ac:dyDescent="0.25">
      <c r="X919" s="451" t="s">
        <v>120</v>
      </c>
      <c r="Y919" s="452" t="s">
        <v>415</v>
      </c>
      <c r="Z919" s="453" t="s">
        <v>5</v>
      </c>
      <c r="AA919" s="453" t="s">
        <v>30</v>
      </c>
      <c r="AB919" s="542" t="s">
        <v>863</v>
      </c>
      <c r="AC919" s="185" t="s">
        <v>37</v>
      </c>
      <c r="AD919" s="669">
        <f>AD920</f>
        <v>2500</v>
      </c>
      <c r="AE919" s="669">
        <f t="shared" si="290"/>
        <v>0</v>
      </c>
      <c r="AF919" s="669">
        <f t="shared" si="290"/>
        <v>0</v>
      </c>
    </row>
    <row r="920" spans="24:32" s="3" customFormat="1" ht="31.5" x14ac:dyDescent="0.25">
      <c r="X920" s="451" t="s">
        <v>52</v>
      </c>
      <c r="Y920" s="452" t="s">
        <v>415</v>
      </c>
      <c r="Z920" s="453" t="s">
        <v>5</v>
      </c>
      <c r="AA920" s="453" t="s">
        <v>30</v>
      </c>
      <c r="AB920" s="542" t="s">
        <v>863</v>
      </c>
      <c r="AC920" s="185" t="s">
        <v>65</v>
      </c>
      <c r="AD920" s="669">
        <v>2500</v>
      </c>
      <c r="AE920" s="633">
        <v>0</v>
      </c>
      <c r="AF920" s="643">
        <v>0</v>
      </c>
    </row>
    <row r="921" spans="24:32" s="3" customFormat="1" x14ac:dyDescent="0.25">
      <c r="X921" s="451" t="s">
        <v>528</v>
      </c>
      <c r="Y921" s="452" t="s">
        <v>415</v>
      </c>
      <c r="Z921" s="453" t="s">
        <v>5</v>
      </c>
      <c r="AA921" s="453" t="s">
        <v>30</v>
      </c>
      <c r="AB921" s="542" t="s">
        <v>388</v>
      </c>
      <c r="AC921" s="473"/>
      <c r="AD921" s="669">
        <f>AD922+AD946+AD956</f>
        <v>829721.90000000014</v>
      </c>
      <c r="AE921" s="669">
        <f>AE922+AE946+AE956</f>
        <v>667598.49999999988</v>
      </c>
      <c r="AF921" s="669">
        <f>AF922+AF946+AF956</f>
        <v>240743.3</v>
      </c>
    </row>
    <row r="922" spans="24:32" s="3" customFormat="1" ht="31.5" x14ac:dyDescent="0.25">
      <c r="X922" s="451" t="s">
        <v>581</v>
      </c>
      <c r="Y922" s="452" t="s">
        <v>415</v>
      </c>
      <c r="Z922" s="453" t="s">
        <v>5</v>
      </c>
      <c r="AA922" s="453" t="s">
        <v>30</v>
      </c>
      <c r="AB922" s="555" t="s">
        <v>441</v>
      </c>
      <c r="AC922" s="473"/>
      <c r="AD922" s="669">
        <f>AD8208+AD940+AD927+AD930+AD943+AD923</f>
        <v>335775.9</v>
      </c>
      <c r="AE922" s="669">
        <f t="shared" ref="AE922:AF922" si="291">AE8208+AE940+AE927+AE930+AE943+AE923</f>
        <v>602111.29999999993</v>
      </c>
      <c r="AF922" s="669">
        <f t="shared" si="291"/>
        <v>240743.3</v>
      </c>
    </row>
    <row r="923" spans="24:32" s="3" customFormat="1" x14ac:dyDescent="0.25">
      <c r="X923" s="451" t="s">
        <v>548</v>
      </c>
      <c r="Y923" s="452" t="s">
        <v>415</v>
      </c>
      <c r="Z923" s="453" t="s">
        <v>5</v>
      </c>
      <c r="AA923" s="453" t="s">
        <v>30</v>
      </c>
      <c r="AB923" s="555" t="s">
        <v>647</v>
      </c>
      <c r="AC923" s="473"/>
      <c r="AD923" s="669">
        <f>AD924</f>
        <v>0</v>
      </c>
      <c r="AE923" s="633">
        <f t="shared" ref="AE923:AF923" si="292">AE924</f>
        <v>85557</v>
      </c>
      <c r="AF923" s="643">
        <f t="shared" si="292"/>
        <v>0</v>
      </c>
    </row>
    <row r="924" spans="24:32" s="3" customFormat="1" ht="31.5" x14ac:dyDescent="0.25">
      <c r="X924" s="451" t="s">
        <v>901</v>
      </c>
      <c r="Y924" s="452" t="s">
        <v>415</v>
      </c>
      <c r="Z924" s="453" t="s">
        <v>5</v>
      </c>
      <c r="AA924" s="453" t="s">
        <v>30</v>
      </c>
      <c r="AB924" s="555" t="s">
        <v>902</v>
      </c>
      <c r="AC924" s="473"/>
      <c r="AD924" s="669">
        <f t="shared" ref="AD924:AF925" si="293">AD925</f>
        <v>0</v>
      </c>
      <c r="AE924" s="633">
        <f t="shared" si="293"/>
        <v>85557</v>
      </c>
      <c r="AF924" s="643">
        <f t="shared" si="293"/>
        <v>0</v>
      </c>
    </row>
    <row r="925" spans="24:32" s="3" customFormat="1" x14ac:dyDescent="0.25">
      <c r="X925" s="665" t="s">
        <v>416</v>
      </c>
      <c r="Y925" s="452" t="s">
        <v>415</v>
      </c>
      <c r="Z925" s="453" t="s">
        <v>5</v>
      </c>
      <c r="AA925" s="453" t="s">
        <v>30</v>
      </c>
      <c r="AB925" s="555" t="s">
        <v>902</v>
      </c>
      <c r="AC925" s="473" t="s">
        <v>154</v>
      </c>
      <c r="AD925" s="669">
        <f t="shared" si="293"/>
        <v>0</v>
      </c>
      <c r="AE925" s="633">
        <f t="shared" si="293"/>
        <v>85557</v>
      </c>
      <c r="AF925" s="643">
        <f t="shared" si="293"/>
        <v>0</v>
      </c>
    </row>
    <row r="926" spans="24:32" s="3" customFormat="1" x14ac:dyDescent="0.25">
      <c r="X926" s="451" t="s">
        <v>9</v>
      </c>
      <c r="Y926" s="452" t="s">
        <v>415</v>
      </c>
      <c r="Z926" s="453" t="s">
        <v>5</v>
      </c>
      <c r="AA926" s="453" t="s">
        <v>30</v>
      </c>
      <c r="AB926" s="555" t="s">
        <v>902</v>
      </c>
      <c r="AC926" s="473" t="s">
        <v>155</v>
      </c>
      <c r="AD926" s="669">
        <v>0</v>
      </c>
      <c r="AE926" s="633">
        <f>69985.6+15571.4</f>
        <v>85557</v>
      </c>
      <c r="AF926" s="643">
        <v>0</v>
      </c>
    </row>
    <row r="927" spans="24:32" s="3" customFormat="1" x14ac:dyDescent="0.25">
      <c r="X927" s="451" t="s">
        <v>548</v>
      </c>
      <c r="Y927" s="452" t="s">
        <v>415</v>
      </c>
      <c r="Z927" s="453" t="s">
        <v>5</v>
      </c>
      <c r="AA927" s="453" t="s">
        <v>30</v>
      </c>
      <c r="AB927" s="555" t="s">
        <v>844</v>
      </c>
      <c r="AC927" s="473"/>
      <c r="AD927" s="669">
        <f t="shared" ref="AD927:AF928" si="294">AD928</f>
        <v>29882.799999999981</v>
      </c>
      <c r="AE927" s="633">
        <f t="shared" si="294"/>
        <v>0</v>
      </c>
      <c r="AF927" s="643">
        <f t="shared" si="294"/>
        <v>0</v>
      </c>
    </row>
    <row r="928" spans="24:32" s="3" customFormat="1" x14ac:dyDescent="0.25">
      <c r="X928" s="665" t="s">
        <v>416</v>
      </c>
      <c r="Y928" s="452" t="s">
        <v>415</v>
      </c>
      <c r="Z928" s="453" t="s">
        <v>5</v>
      </c>
      <c r="AA928" s="453" t="s">
        <v>30</v>
      </c>
      <c r="AB928" s="555" t="s">
        <v>844</v>
      </c>
      <c r="AC928" s="473" t="s">
        <v>154</v>
      </c>
      <c r="AD928" s="669">
        <f t="shared" si="294"/>
        <v>29882.799999999981</v>
      </c>
      <c r="AE928" s="633">
        <f t="shared" si="294"/>
        <v>0</v>
      </c>
      <c r="AF928" s="643">
        <f t="shared" si="294"/>
        <v>0</v>
      </c>
    </row>
    <row r="929" spans="24:32" s="3" customFormat="1" x14ac:dyDescent="0.25">
      <c r="X929" s="451" t="s">
        <v>9</v>
      </c>
      <c r="Y929" s="452" t="s">
        <v>415</v>
      </c>
      <c r="Z929" s="453" t="s">
        <v>5</v>
      </c>
      <c r="AA929" s="453" t="s">
        <v>30</v>
      </c>
      <c r="AB929" s="555" t="s">
        <v>844</v>
      </c>
      <c r="AC929" s="473" t="s">
        <v>155</v>
      </c>
      <c r="AD929" s="669">
        <f>85487.4+19020.4+3114.7+7817.3-69985.6-15571.4</f>
        <v>29882.799999999981</v>
      </c>
      <c r="AE929" s="633">
        <v>0</v>
      </c>
      <c r="AF929" s="643">
        <v>0</v>
      </c>
    </row>
    <row r="930" spans="24:32" s="3" customFormat="1" ht="31.5" x14ac:dyDescent="0.25">
      <c r="X930" s="451" t="s">
        <v>653</v>
      </c>
      <c r="Y930" s="452" t="s">
        <v>415</v>
      </c>
      <c r="Z930" s="453" t="s">
        <v>5</v>
      </c>
      <c r="AA930" s="453" t="s">
        <v>30</v>
      </c>
      <c r="AB930" s="555" t="s">
        <v>652</v>
      </c>
      <c r="AC930" s="473"/>
      <c r="AD930" s="669">
        <f>AD931+AD934+AD937</f>
        <v>621.20000000000005</v>
      </c>
      <c r="AE930" s="669">
        <f t="shared" ref="AE930:AF930" si="295">AE931+AE934+AE937</f>
        <v>295713.39999999997</v>
      </c>
      <c r="AF930" s="669">
        <f t="shared" si="295"/>
        <v>240743.3</v>
      </c>
    </row>
    <row r="931" spans="24:32" s="3" customFormat="1" ht="47.25" x14ac:dyDescent="0.25">
      <c r="X931" s="451" t="s">
        <v>717</v>
      </c>
      <c r="Y931" s="452" t="s">
        <v>415</v>
      </c>
      <c r="Z931" s="453" t="s">
        <v>5</v>
      </c>
      <c r="AA931" s="453" t="s">
        <v>30</v>
      </c>
      <c r="AB931" s="555" t="s">
        <v>715</v>
      </c>
      <c r="AC931" s="473"/>
      <c r="AD931" s="669">
        <f>AD932</f>
        <v>0</v>
      </c>
      <c r="AE931" s="633">
        <f t="shared" ref="AE931:AF931" si="296">AE932</f>
        <v>51481.299999999996</v>
      </c>
      <c r="AF931" s="643">
        <f t="shared" si="296"/>
        <v>120123</v>
      </c>
    </row>
    <row r="932" spans="24:32" s="3" customFormat="1" x14ac:dyDescent="0.25">
      <c r="X932" s="665" t="s">
        <v>416</v>
      </c>
      <c r="Y932" s="452" t="s">
        <v>415</v>
      </c>
      <c r="Z932" s="453" t="s">
        <v>5</v>
      </c>
      <c r="AA932" s="453" t="s">
        <v>30</v>
      </c>
      <c r="AB932" s="555" t="s">
        <v>715</v>
      </c>
      <c r="AC932" s="473" t="s">
        <v>154</v>
      </c>
      <c r="AD932" s="669">
        <f t="shared" ref="AD932:AF932" si="297">AD933</f>
        <v>0</v>
      </c>
      <c r="AE932" s="633">
        <f t="shared" si="297"/>
        <v>51481.299999999996</v>
      </c>
      <c r="AF932" s="643">
        <f t="shared" si="297"/>
        <v>120123</v>
      </c>
    </row>
    <row r="933" spans="24:32" s="3" customFormat="1" x14ac:dyDescent="0.25">
      <c r="X933" s="451" t="s">
        <v>9</v>
      </c>
      <c r="Y933" s="452" t="s">
        <v>415</v>
      </c>
      <c r="Z933" s="453" t="s">
        <v>5</v>
      </c>
      <c r="AA933" s="453" t="s">
        <v>30</v>
      </c>
      <c r="AB933" s="555" t="s">
        <v>715</v>
      </c>
      <c r="AC933" s="473" t="s">
        <v>155</v>
      </c>
      <c r="AD933" s="669">
        <v>0</v>
      </c>
      <c r="AE933" s="633">
        <f>9369.6+42111.7</f>
        <v>51481.299999999996</v>
      </c>
      <c r="AF933" s="643">
        <f>21862.4+98260.6</f>
        <v>120123</v>
      </c>
    </row>
    <row r="934" spans="24:32" s="3" customFormat="1" ht="47.25" x14ac:dyDescent="0.25">
      <c r="X934" s="451" t="s">
        <v>718</v>
      </c>
      <c r="Y934" s="452" t="s">
        <v>415</v>
      </c>
      <c r="Z934" s="453" t="s">
        <v>5</v>
      </c>
      <c r="AA934" s="453" t="s">
        <v>30</v>
      </c>
      <c r="AB934" s="555" t="s">
        <v>716</v>
      </c>
      <c r="AC934" s="473"/>
      <c r="AD934" s="669">
        <f>AD935</f>
        <v>0</v>
      </c>
      <c r="AE934" s="633">
        <f t="shared" ref="AE934:AF935" si="298">AE935</f>
        <v>120620.29999999999</v>
      </c>
      <c r="AF934" s="643">
        <f t="shared" si="298"/>
        <v>120620.29999999999</v>
      </c>
    </row>
    <row r="935" spans="24:32" s="3" customFormat="1" x14ac:dyDescent="0.25">
      <c r="X935" s="665" t="s">
        <v>416</v>
      </c>
      <c r="Y935" s="452" t="s">
        <v>415</v>
      </c>
      <c r="Z935" s="453" t="s">
        <v>5</v>
      </c>
      <c r="AA935" s="453" t="s">
        <v>30</v>
      </c>
      <c r="AB935" s="555" t="s">
        <v>716</v>
      </c>
      <c r="AC935" s="473" t="s">
        <v>154</v>
      </c>
      <c r="AD935" s="669">
        <f>AD936</f>
        <v>0</v>
      </c>
      <c r="AE935" s="633">
        <f t="shared" si="298"/>
        <v>120620.29999999999</v>
      </c>
      <c r="AF935" s="643">
        <f t="shared" si="298"/>
        <v>120620.29999999999</v>
      </c>
    </row>
    <row r="936" spans="24:32" s="3" customFormat="1" x14ac:dyDescent="0.25">
      <c r="X936" s="451" t="s">
        <v>9</v>
      </c>
      <c r="Y936" s="452" t="s">
        <v>415</v>
      </c>
      <c r="Z936" s="453" t="s">
        <v>5</v>
      </c>
      <c r="AA936" s="453" t="s">
        <v>30</v>
      </c>
      <c r="AB936" s="555" t="s">
        <v>716</v>
      </c>
      <c r="AC936" s="473" t="s">
        <v>155</v>
      </c>
      <c r="AD936" s="669">
        <v>0</v>
      </c>
      <c r="AE936" s="633">
        <f>98667.4+21952.9</f>
        <v>120620.29999999999</v>
      </c>
      <c r="AF936" s="643">
        <f>98667.4+21952.9</f>
        <v>120620.29999999999</v>
      </c>
    </row>
    <row r="937" spans="24:32" s="3" customFormat="1" ht="54" customHeight="1" x14ac:dyDescent="0.25">
      <c r="X937" s="451" t="s">
        <v>835</v>
      </c>
      <c r="Y937" s="452" t="s">
        <v>415</v>
      </c>
      <c r="Z937" s="453" t="s">
        <v>5</v>
      </c>
      <c r="AA937" s="453" t="s">
        <v>30</v>
      </c>
      <c r="AB937" s="555" t="s">
        <v>836</v>
      </c>
      <c r="AC937" s="473"/>
      <c r="AD937" s="669">
        <f>AD938</f>
        <v>621.20000000000005</v>
      </c>
      <c r="AE937" s="669">
        <f t="shared" ref="AE937:AF937" si="299">AE938</f>
        <v>123611.8</v>
      </c>
      <c r="AF937" s="669">
        <f t="shared" si="299"/>
        <v>0</v>
      </c>
    </row>
    <row r="938" spans="24:32" s="3" customFormat="1" x14ac:dyDescent="0.25">
      <c r="X938" s="665" t="s">
        <v>416</v>
      </c>
      <c r="Y938" s="452" t="s">
        <v>415</v>
      </c>
      <c r="Z938" s="453" t="s">
        <v>5</v>
      </c>
      <c r="AA938" s="453" t="s">
        <v>30</v>
      </c>
      <c r="AB938" s="555" t="s">
        <v>836</v>
      </c>
      <c r="AC938" s="473" t="s">
        <v>154</v>
      </c>
      <c r="AD938" s="669">
        <f>AD939</f>
        <v>621.20000000000005</v>
      </c>
      <c r="AE938" s="669">
        <f t="shared" ref="AE938:AF938" si="300">AE939</f>
        <v>123611.8</v>
      </c>
      <c r="AF938" s="669">
        <f t="shared" si="300"/>
        <v>0</v>
      </c>
    </row>
    <row r="939" spans="24:32" s="3" customFormat="1" x14ac:dyDescent="0.25">
      <c r="X939" s="451" t="s">
        <v>9</v>
      </c>
      <c r="Y939" s="452" t="s">
        <v>415</v>
      </c>
      <c r="Z939" s="453" t="s">
        <v>5</v>
      </c>
      <c r="AA939" s="453" t="s">
        <v>30</v>
      </c>
      <c r="AB939" s="555" t="s">
        <v>836</v>
      </c>
      <c r="AC939" s="473" t="s">
        <v>155</v>
      </c>
      <c r="AD939" s="669">
        <f>510+111.2</f>
        <v>621.20000000000005</v>
      </c>
      <c r="AE939" s="633">
        <f>101485.3+22126.5</f>
        <v>123611.8</v>
      </c>
      <c r="AF939" s="643">
        <v>0</v>
      </c>
    </row>
    <row r="940" spans="24:32" s="3" customFormat="1" x14ac:dyDescent="0.25">
      <c r="X940" s="451" t="s">
        <v>837</v>
      </c>
      <c r="Y940" s="452" t="s">
        <v>415</v>
      </c>
      <c r="Z940" s="453" t="s">
        <v>5</v>
      </c>
      <c r="AA940" s="453" t="s">
        <v>30</v>
      </c>
      <c r="AB940" s="555" t="s">
        <v>645</v>
      </c>
      <c r="AC940" s="473"/>
      <c r="AD940" s="669">
        <f t="shared" ref="AD940:AF941" si="301">AD941</f>
        <v>112639.70000000004</v>
      </c>
      <c r="AE940" s="633">
        <f t="shared" si="301"/>
        <v>220840.9</v>
      </c>
      <c r="AF940" s="643">
        <f t="shared" si="301"/>
        <v>0</v>
      </c>
    </row>
    <row r="941" spans="24:32" s="3" customFormat="1" x14ac:dyDescent="0.25">
      <c r="X941" s="451" t="s">
        <v>120</v>
      </c>
      <c r="Y941" s="452" t="s">
        <v>415</v>
      </c>
      <c r="Z941" s="453" t="s">
        <v>5</v>
      </c>
      <c r="AA941" s="453" t="s">
        <v>30</v>
      </c>
      <c r="AB941" s="555" t="s">
        <v>645</v>
      </c>
      <c r="AC941" s="473" t="s">
        <v>37</v>
      </c>
      <c r="AD941" s="669">
        <f t="shared" si="301"/>
        <v>112639.70000000004</v>
      </c>
      <c r="AE941" s="633">
        <f t="shared" si="301"/>
        <v>220840.9</v>
      </c>
      <c r="AF941" s="643">
        <f t="shared" si="301"/>
        <v>0</v>
      </c>
    </row>
    <row r="942" spans="24:32" s="3" customFormat="1" ht="31.5" x14ac:dyDescent="0.25">
      <c r="X942" s="451" t="s">
        <v>52</v>
      </c>
      <c r="Y942" s="452" t="s">
        <v>415</v>
      </c>
      <c r="Z942" s="453" t="s">
        <v>5</v>
      </c>
      <c r="AA942" s="453" t="s">
        <v>30</v>
      </c>
      <c r="AB942" s="555" t="s">
        <v>645</v>
      </c>
      <c r="AC942" s="473" t="s">
        <v>65</v>
      </c>
      <c r="AD942" s="669">
        <f>249712.4+55559.5-35059.1-157573.1</f>
        <v>112639.70000000004</v>
      </c>
      <c r="AE942" s="634">
        <f>180647.8+40193.1</f>
        <v>220840.9</v>
      </c>
      <c r="AF942" s="646">
        <v>0</v>
      </c>
    </row>
    <row r="943" spans="24:32" s="3" customFormat="1" ht="37.5" customHeight="1" x14ac:dyDescent="0.25">
      <c r="X943" s="451" t="s">
        <v>846</v>
      </c>
      <c r="Y943" s="452" t="s">
        <v>415</v>
      </c>
      <c r="Z943" s="453" t="s">
        <v>5</v>
      </c>
      <c r="AA943" s="453" t="s">
        <v>30</v>
      </c>
      <c r="AB943" s="555" t="s">
        <v>845</v>
      </c>
      <c r="AC943" s="473"/>
      <c r="AD943" s="669">
        <f>AD944</f>
        <v>192632.2</v>
      </c>
      <c r="AE943" s="669">
        <f t="shared" ref="AE943:AF943" si="302">AE944</f>
        <v>0</v>
      </c>
      <c r="AF943" s="669">
        <f t="shared" si="302"/>
        <v>0</v>
      </c>
    </row>
    <row r="944" spans="24:32" s="3" customFormat="1" x14ac:dyDescent="0.25">
      <c r="X944" s="451" t="s">
        <v>120</v>
      </c>
      <c r="Y944" s="452" t="s">
        <v>415</v>
      </c>
      <c r="Z944" s="453" t="s">
        <v>5</v>
      </c>
      <c r="AA944" s="453" t="s">
        <v>30</v>
      </c>
      <c r="AB944" s="555" t="s">
        <v>845</v>
      </c>
      <c r="AC944" s="473" t="s">
        <v>37</v>
      </c>
      <c r="AD944" s="669">
        <f>AD945</f>
        <v>192632.2</v>
      </c>
      <c r="AE944" s="669">
        <f t="shared" ref="AE944:AF944" si="303">AE945</f>
        <v>0</v>
      </c>
      <c r="AF944" s="669">
        <f t="shared" si="303"/>
        <v>0</v>
      </c>
    </row>
    <row r="945" spans="24:32" s="3" customFormat="1" ht="21" customHeight="1" x14ac:dyDescent="0.25">
      <c r="X945" s="451" t="s">
        <v>52</v>
      </c>
      <c r="Y945" s="452" t="s">
        <v>415</v>
      </c>
      <c r="Z945" s="453" t="s">
        <v>5</v>
      </c>
      <c r="AA945" s="453" t="s">
        <v>30</v>
      </c>
      <c r="AB945" s="555" t="s">
        <v>845</v>
      </c>
      <c r="AC945" s="473" t="s">
        <v>65</v>
      </c>
      <c r="AD945" s="669">
        <f>35059.1+157573.1</f>
        <v>192632.2</v>
      </c>
      <c r="AE945" s="634">
        <v>0</v>
      </c>
      <c r="AF945" s="646">
        <v>0</v>
      </c>
    </row>
    <row r="946" spans="24:32" s="3" customFormat="1" ht="47.25" x14ac:dyDescent="0.25">
      <c r="X946" s="451" t="s">
        <v>724</v>
      </c>
      <c r="Y946" s="452" t="s">
        <v>415</v>
      </c>
      <c r="Z946" s="453" t="s">
        <v>5</v>
      </c>
      <c r="AA946" s="453" t="s">
        <v>30</v>
      </c>
      <c r="AB946" s="542" t="s">
        <v>625</v>
      </c>
      <c r="AC946" s="473"/>
      <c r="AD946" s="669">
        <f>AD950+AD947+AD953</f>
        <v>493946.00000000006</v>
      </c>
      <c r="AE946" s="633">
        <f t="shared" ref="AE946:AF946" si="304">AE950</f>
        <v>62987.199999999997</v>
      </c>
      <c r="AF946" s="643">
        <f t="shared" si="304"/>
        <v>0</v>
      </c>
    </row>
    <row r="947" spans="24:32" s="3" customFormat="1" ht="33.75" customHeight="1" x14ac:dyDescent="0.25">
      <c r="X947" s="451" t="s">
        <v>781</v>
      </c>
      <c r="Y947" s="452" t="s">
        <v>415</v>
      </c>
      <c r="Z947" s="453" t="s">
        <v>5</v>
      </c>
      <c r="AA947" s="453" t="s">
        <v>30</v>
      </c>
      <c r="AB947" s="542" t="s">
        <v>780</v>
      </c>
      <c r="AC947" s="473"/>
      <c r="AD947" s="669">
        <f>AD948</f>
        <v>2400</v>
      </c>
      <c r="AE947" s="633">
        <f t="shared" ref="AE947:AF948" si="305">AE948</f>
        <v>0</v>
      </c>
      <c r="AF947" s="643">
        <f t="shared" si="305"/>
        <v>0</v>
      </c>
    </row>
    <row r="948" spans="24:32" s="3" customFormat="1" x14ac:dyDescent="0.25">
      <c r="X948" s="451" t="s">
        <v>120</v>
      </c>
      <c r="Y948" s="452" t="s">
        <v>415</v>
      </c>
      <c r="Z948" s="453" t="s">
        <v>5</v>
      </c>
      <c r="AA948" s="453" t="s">
        <v>30</v>
      </c>
      <c r="AB948" s="542" t="s">
        <v>780</v>
      </c>
      <c r="AC948" s="473" t="s">
        <v>37</v>
      </c>
      <c r="AD948" s="669">
        <f>AD949</f>
        <v>2400</v>
      </c>
      <c r="AE948" s="633">
        <f t="shared" si="305"/>
        <v>0</v>
      </c>
      <c r="AF948" s="643">
        <f t="shared" si="305"/>
        <v>0</v>
      </c>
    </row>
    <row r="949" spans="24:32" s="3" customFormat="1" ht="31.5" x14ac:dyDescent="0.25">
      <c r="X949" s="451" t="s">
        <v>52</v>
      </c>
      <c r="Y949" s="452" t="s">
        <v>415</v>
      </c>
      <c r="Z949" s="453" t="s">
        <v>5</v>
      </c>
      <c r="AA949" s="453" t="s">
        <v>30</v>
      </c>
      <c r="AB949" s="542" t="s">
        <v>780</v>
      </c>
      <c r="AC949" s="473" t="s">
        <v>65</v>
      </c>
      <c r="AD949" s="669">
        <f>1500+900</f>
        <v>2400</v>
      </c>
      <c r="AE949" s="633">
        <v>0</v>
      </c>
      <c r="AF949" s="643">
        <v>0</v>
      </c>
    </row>
    <row r="950" spans="24:32" s="3" customFormat="1" ht="31.5" x14ac:dyDescent="0.25">
      <c r="X950" s="451" t="s">
        <v>639</v>
      </c>
      <c r="Y950" s="452" t="s">
        <v>415</v>
      </c>
      <c r="Z950" s="453" t="s">
        <v>5</v>
      </c>
      <c r="AA950" s="453" t="s">
        <v>30</v>
      </c>
      <c r="AB950" s="555" t="s">
        <v>646</v>
      </c>
      <c r="AC950" s="473"/>
      <c r="AD950" s="669">
        <f t="shared" ref="AD950:AF951" si="306">AD951</f>
        <v>21150.200000000055</v>
      </c>
      <c r="AE950" s="633">
        <f t="shared" si="306"/>
        <v>62987.199999999997</v>
      </c>
      <c r="AF950" s="643">
        <f t="shared" si="306"/>
        <v>0</v>
      </c>
    </row>
    <row r="951" spans="24:32" s="3" customFormat="1" x14ac:dyDescent="0.25">
      <c r="X951" s="451" t="s">
        <v>120</v>
      </c>
      <c r="Y951" s="452" t="s">
        <v>415</v>
      </c>
      <c r="Z951" s="453" t="s">
        <v>5</v>
      </c>
      <c r="AA951" s="453" t="s">
        <v>30</v>
      </c>
      <c r="AB951" s="555" t="s">
        <v>646</v>
      </c>
      <c r="AC951" s="473" t="s">
        <v>37</v>
      </c>
      <c r="AD951" s="669">
        <f t="shared" si="306"/>
        <v>21150.200000000055</v>
      </c>
      <c r="AE951" s="633">
        <f t="shared" si="306"/>
        <v>62987.199999999997</v>
      </c>
      <c r="AF951" s="643">
        <f t="shared" si="306"/>
        <v>0</v>
      </c>
    </row>
    <row r="952" spans="24:32" s="3" customFormat="1" ht="31.5" x14ac:dyDescent="0.25">
      <c r="X952" s="451" t="s">
        <v>52</v>
      </c>
      <c r="Y952" s="452" t="s">
        <v>415</v>
      </c>
      <c r="Z952" s="453" t="s">
        <v>5</v>
      </c>
      <c r="AA952" s="453" t="s">
        <v>30</v>
      </c>
      <c r="AB952" s="555" t="s">
        <v>646</v>
      </c>
      <c r="AC952" s="473" t="s">
        <v>65</v>
      </c>
      <c r="AD952" s="669">
        <f>396736.7+88271.5+259.9+56.7-384783.8-85612+5089.1+1132.1</f>
        <v>21150.200000000055</v>
      </c>
      <c r="AE952" s="633">
        <f>51712.5+11274.7</f>
        <v>62987.199999999997</v>
      </c>
      <c r="AF952" s="643">
        <v>0</v>
      </c>
    </row>
    <row r="953" spans="24:32" s="3" customFormat="1" ht="31.5" x14ac:dyDescent="0.25">
      <c r="X953" s="451" t="s">
        <v>849</v>
      </c>
      <c r="Y953" s="452" t="s">
        <v>415</v>
      </c>
      <c r="Z953" s="453" t="s">
        <v>5</v>
      </c>
      <c r="AA953" s="453" t="s">
        <v>30</v>
      </c>
      <c r="AB953" s="555" t="s">
        <v>850</v>
      </c>
      <c r="AC953" s="473"/>
      <c r="AD953" s="669">
        <f>AD954</f>
        <v>470395.8</v>
      </c>
      <c r="AE953" s="669">
        <f t="shared" ref="AE953:AF953" si="307">AE954</f>
        <v>0</v>
      </c>
      <c r="AF953" s="669">
        <f t="shared" si="307"/>
        <v>0</v>
      </c>
    </row>
    <row r="954" spans="24:32" s="3" customFormat="1" x14ac:dyDescent="0.25">
      <c r="X954" s="451" t="s">
        <v>120</v>
      </c>
      <c r="Y954" s="452" t="s">
        <v>415</v>
      </c>
      <c r="Z954" s="453" t="s">
        <v>5</v>
      </c>
      <c r="AA954" s="453" t="s">
        <v>30</v>
      </c>
      <c r="AB954" s="555" t="s">
        <v>850</v>
      </c>
      <c r="AC954" s="473" t="s">
        <v>37</v>
      </c>
      <c r="AD954" s="669">
        <f>AD955</f>
        <v>470395.8</v>
      </c>
      <c r="AE954" s="669">
        <f t="shared" ref="AE954:AF954" si="308">AE955</f>
        <v>0</v>
      </c>
      <c r="AF954" s="669">
        <f t="shared" si="308"/>
        <v>0</v>
      </c>
    </row>
    <row r="955" spans="24:32" s="3" customFormat="1" ht="31.5" x14ac:dyDescent="0.25">
      <c r="X955" s="451" t="s">
        <v>52</v>
      </c>
      <c r="Y955" s="452" t="s">
        <v>415</v>
      </c>
      <c r="Z955" s="453" t="s">
        <v>5</v>
      </c>
      <c r="AA955" s="453" t="s">
        <v>30</v>
      </c>
      <c r="AB955" s="555" t="s">
        <v>850</v>
      </c>
      <c r="AC955" s="473" t="s">
        <v>65</v>
      </c>
      <c r="AD955" s="669">
        <f>384783.8+85612</f>
        <v>470395.8</v>
      </c>
      <c r="AE955" s="633">
        <v>0</v>
      </c>
      <c r="AF955" s="643">
        <v>0</v>
      </c>
    </row>
    <row r="956" spans="24:32" s="3" customFormat="1" ht="56.25" customHeight="1" x14ac:dyDescent="0.25">
      <c r="X956" s="451" t="s">
        <v>897</v>
      </c>
      <c r="Y956" s="452" t="s">
        <v>415</v>
      </c>
      <c r="Z956" s="453" t="s">
        <v>5</v>
      </c>
      <c r="AA956" s="453" t="s">
        <v>30</v>
      </c>
      <c r="AB956" s="542" t="s">
        <v>899</v>
      </c>
      <c r="AC956" s="473"/>
      <c r="AD956" s="669">
        <f>AD957</f>
        <v>0</v>
      </c>
      <c r="AE956" s="669">
        <f t="shared" ref="AE956:AF958" si="309">AE957</f>
        <v>2500</v>
      </c>
      <c r="AF956" s="669">
        <f t="shared" si="309"/>
        <v>0</v>
      </c>
    </row>
    <row r="957" spans="24:32" s="3" customFormat="1" ht="37.5" customHeight="1" x14ac:dyDescent="0.25">
      <c r="X957" s="451" t="s">
        <v>898</v>
      </c>
      <c r="Y957" s="452" t="s">
        <v>415</v>
      </c>
      <c r="Z957" s="453" t="s">
        <v>5</v>
      </c>
      <c r="AA957" s="453" t="s">
        <v>30</v>
      </c>
      <c r="AB957" s="542" t="s">
        <v>900</v>
      </c>
      <c r="AC957" s="473"/>
      <c r="AD957" s="669">
        <f>AD958</f>
        <v>0</v>
      </c>
      <c r="AE957" s="669">
        <f t="shared" si="309"/>
        <v>2500</v>
      </c>
      <c r="AF957" s="669">
        <f t="shared" si="309"/>
        <v>0</v>
      </c>
    </row>
    <row r="958" spans="24:32" s="3" customFormat="1" x14ac:dyDescent="0.25">
      <c r="X958" s="451" t="s">
        <v>120</v>
      </c>
      <c r="Y958" s="452" t="s">
        <v>415</v>
      </c>
      <c r="Z958" s="453" t="s">
        <v>5</v>
      </c>
      <c r="AA958" s="453" t="s">
        <v>30</v>
      </c>
      <c r="AB958" s="542" t="s">
        <v>900</v>
      </c>
      <c r="AC958" s="473" t="s">
        <v>37</v>
      </c>
      <c r="AD958" s="669">
        <f>AD959</f>
        <v>0</v>
      </c>
      <c r="AE958" s="669">
        <f t="shared" si="309"/>
        <v>2500</v>
      </c>
      <c r="AF958" s="669">
        <f t="shared" si="309"/>
        <v>0</v>
      </c>
    </row>
    <row r="959" spans="24:32" s="3" customFormat="1" ht="31.5" x14ac:dyDescent="0.25">
      <c r="X959" s="451" t="s">
        <v>52</v>
      </c>
      <c r="Y959" s="452" t="s">
        <v>415</v>
      </c>
      <c r="Z959" s="453" t="s">
        <v>5</v>
      </c>
      <c r="AA959" s="453" t="s">
        <v>30</v>
      </c>
      <c r="AB959" s="542" t="s">
        <v>900</v>
      </c>
      <c r="AC959" s="473" t="s">
        <v>65</v>
      </c>
      <c r="AD959" s="669">
        <v>0</v>
      </c>
      <c r="AE959" s="633">
        <v>2500</v>
      </c>
      <c r="AF959" s="643">
        <v>0</v>
      </c>
    </row>
    <row r="960" spans="24:32" s="3" customFormat="1" x14ac:dyDescent="0.25">
      <c r="X960" s="451" t="s">
        <v>664</v>
      </c>
      <c r="Y960" s="452" t="s">
        <v>415</v>
      </c>
      <c r="Z960" s="453" t="s">
        <v>5</v>
      </c>
      <c r="AA960" s="453" t="s">
        <v>30</v>
      </c>
      <c r="AB960" s="542" t="s">
        <v>665</v>
      </c>
      <c r="AC960" s="473"/>
      <c r="AD960" s="669">
        <f>AD961</f>
        <v>5500</v>
      </c>
      <c r="AE960" s="633">
        <f t="shared" ref="AE960:AF961" si="310">AE961</f>
        <v>0</v>
      </c>
      <c r="AF960" s="643">
        <f t="shared" si="310"/>
        <v>0</v>
      </c>
    </row>
    <row r="961" spans="24:32" s="3" customFormat="1" ht="31.5" x14ac:dyDescent="0.25">
      <c r="X961" s="451" t="s">
        <v>667</v>
      </c>
      <c r="Y961" s="452" t="s">
        <v>415</v>
      </c>
      <c r="Z961" s="453" t="s">
        <v>5</v>
      </c>
      <c r="AA961" s="453" t="s">
        <v>30</v>
      </c>
      <c r="AB961" s="542" t="s">
        <v>666</v>
      </c>
      <c r="AC961" s="473"/>
      <c r="AD961" s="669">
        <f>AD962</f>
        <v>5500</v>
      </c>
      <c r="AE961" s="669">
        <f t="shared" si="310"/>
        <v>0</v>
      </c>
      <c r="AF961" s="669">
        <f t="shared" si="310"/>
        <v>0</v>
      </c>
    </row>
    <row r="962" spans="24:32" s="3" customFormat="1" ht="30.75" customHeight="1" x14ac:dyDescent="0.25">
      <c r="X962" s="451" t="s">
        <v>842</v>
      </c>
      <c r="Y962" s="452" t="s">
        <v>415</v>
      </c>
      <c r="Z962" s="453" t="s">
        <v>5</v>
      </c>
      <c r="AA962" s="453" t="s">
        <v>30</v>
      </c>
      <c r="AB962" s="542" t="s">
        <v>843</v>
      </c>
      <c r="AC962" s="473"/>
      <c r="AD962" s="669">
        <f>AD963</f>
        <v>5500</v>
      </c>
      <c r="AE962" s="669">
        <f t="shared" ref="AE962:AF963" si="311">AE963</f>
        <v>0</v>
      </c>
      <c r="AF962" s="669">
        <f t="shared" si="311"/>
        <v>0</v>
      </c>
    </row>
    <row r="963" spans="24:32" s="3" customFormat="1" x14ac:dyDescent="0.25">
      <c r="X963" s="451" t="s">
        <v>120</v>
      </c>
      <c r="Y963" s="452" t="s">
        <v>415</v>
      </c>
      <c r="Z963" s="453" t="s">
        <v>5</v>
      </c>
      <c r="AA963" s="453" t="s">
        <v>30</v>
      </c>
      <c r="AB963" s="542" t="s">
        <v>843</v>
      </c>
      <c r="AC963" s="473" t="s">
        <v>37</v>
      </c>
      <c r="AD963" s="669">
        <f>AD964</f>
        <v>5500</v>
      </c>
      <c r="AE963" s="669">
        <f t="shared" si="311"/>
        <v>0</v>
      </c>
      <c r="AF963" s="669">
        <f t="shared" si="311"/>
        <v>0</v>
      </c>
    </row>
    <row r="964" spans="24:32" s="3" customFormat="1" ht="31.5" x14ac:dyDescent="0.25">
      <c r="X964" s="451" t="s">
        <v>52</v>
      </c>
      <c r="Y964" s="452" t="s">
        <v>415</v>
      </c>
      <c r="Z964" s="453" t="s">
        <v>5</v>
      </c>
      <c r="AA964" s="453" t="s">
        <v>30</v>
      </c>
      <c r="AB964" s="542" t="s">
        <v>843</v>
      </c>
      <c r="AC964" s="473" t="s">
        <v>65</v>
      </c>
      <c r="AD964" s="669">
        <v>5500</v>
      </c>
      <c r="AE964" s="633">
        <v>0</v>
      </c>
      <c r="AF964" s="643">
        <v>0</v>
      </c>
    </row>
    <row r="965" spans="24:32" s="3" customFormat="1" x14ac:dyDescent="0.25">
      <c r="X965" s="457" t="s">
        <v>242</v>
      </c>
      <c r="Y965" s="452" t="s">
        <v>415</v>
      </c>
      <c r="Z965" s="453" t="s">
        <v>5</v>
      </c>
      <c r="AA965" s="453" t="s">
        <v>30</v>
      </c>
      <c r="AB965" s="542" t="s">
        <v>243</v>
      </c>
      <c r="AC965" s="473"/>
      <c r="AD965" s="669">
        <f>AD966</f>
        <v>593.1</v>
      </c>
      <c r="AE965" s="633">
        <f t="shared" ref="AE965:AF969" si="312">AE966</f>
        <v>1519.6</v>
      </c>
      <c r="AF965" s="643">
        <f t="shared" si="312"/>
        <v>0</v>
      </c>
    </row>
    <row r="966" spans="24:32" s="3" customFormat="1" ht="31.5" x14ac:dyDescent="0.25">
      <c r="X966" s="457" t="s">
        <v>539</v>
      </c>
      <c r="Y966" s="452" t="s">
        <v>415</v>
      </c>
      <c r="Z966" s="453" t="s">
        <v>5</v>
      </c>
      <c r="AA966" s="453" t="s">
        <v>30</v>
      </c>
      <c r="AB966" s="542" t="s">
        <v>244</v>
      </c>
      <c r="AC966" s="473"/>
      <c r="AD966" s="669">
        <f>AD967</f>
        <v>593.1</v>
      </c>
      <c r="AE966" s="633">
        <f t="shared" si="312"/>
        <v>1519.6</v>
      </c>
      <c r="AF966" s="643">
        <f t="shared" si="312"/>
        <v>0</v>
      </c>
    </row>
    <row r="967" spans="24:32" s="3" customFormat="1" ht="31.5" x14ac:dyDescent="0.25">
      <c r="X967" s="466" t="s">
        <v>540</v>
      </c>
      <c r="Y967" s="452" t="s">
        <v>415</v>
      </c>
      <c r="Z967" s="453" t="s">
        <v>5</v>
      </c>
      <c r="AA967" s="453" t="s">
        <v>30</v>
      </c>
      <c r="AB967" s="542" t="s">
        <v>245</v>
      </c>
      <c r="AC967" s="473"/>
      <c r="AD967" s="669">
        <f>AD968</f>
        <v>593.1</v>
      </c>
      <c r="AE967" s="633">
        <f>AE968</f>
        <v>1519.6</v>
      </c>
      <c r="AF967" s="643">
        <f>AF968</f>
        <v>0</v>
      </c>
    </row>
    <row r="968" spans="24:32" s="3" customFormat="1" x14ac:dyDescent="0.25">
      <c r="X968" s="451" t="s">
        <v>641</v>
      </c>
      <c r="Y968" s="452" t="s">
        <v>415</v>
      </c>
      <c r="Z968" s="453" t="s">
        <v>5</v>
      </c>
      <c r="AA968" s="453" t="s">
        <v>30</v>
      </c>
      <c r="AB968" s="542" t="s">
        <v>642</v>
      </c>
      <c r="AC968" s="473"/>
      <c r="AD968" s="669">
        <f>AD969</f>
        <v>593.1</v>
      </c>
      <c r="AE968" s="633">
        <f t="shared" si="312"/>
        <v>1519.6</v>
      </c>
      <c r="AF968" s="643">
        <f t="shared" si="312"/>
        <v>0</v>
      </c>
    </row>
    <row r="969" spans="24:32" s="3" customFormat="1" x14ac:dyDescent="0.25">
      <c r="X969" s="451" t="s">
        <v>120</v>
      </c>
      <c r="Y969" s="452" t="s">
        <v>415</v>
      </c>
      <c r="Z969" s="453" t="s">
        <v>5</v>
      </c>
      <c r="AA969" s="453" t="s">
        <v>30</v>
      </c>
      <c r="AB969" s="542" t="s">
        <v>642</v>
      </c>
      <c r="AC969" s="473" t="s">
        <v>37</v>
      </c>
      <c r="AD969" s="669">
        <f>AD970</f>
        <v>593.1</v>
      </c>
      <c r="AE969" s="633">
        <f t="shared" si="312"/>
        <v>1519.6</v>
      </c>
      <c r="AF969" s="643">
        <f t="shared" si="312"/>
        <v>0</v>
      </c>
    </row>
    <row r="970" spans="24:32" s="3" customFormat="1" ht="31.5" x14ac:dyDescent="0.25">
      <c r="X970" s="451" t="s">
        <v>52</v>
      </c>
      <c r="Y970" s="452" t="s">
        <v>415</v>
      </c>
      <c r="Z970" s="453" t="s">
        <v>5</v>
      </c>
      <c r="AA970" s="453" t="s">
        <v>30</v>
      </c>
      <c r="AB970" s="542" t="s">
        <v>642</v>
      </c>
      <c r="AC970" s="473" t="s">
        <v>65</v>
      </c>
      <c r="AD970" s="669">
        <f>485.1+108</f>
        <v>593.1</v>
      </c>
      <c r="AE970" s="719">
        <f>1247.6+272</f>
        <v>1519.6</v>
      </c>
      <c r="AF970" s="643">
        <v>0</v>
      </c>
    </row>
    <row r="971" spans="24:32" s="3" customFormat="1" x14ac:dyDescent="0.25">
      <c r="X971" s="451" t="s">
        <v>18</v>
      </c>
      <c r="Y971" s="452" t="s">
        <v>415</v>
      </c>
      <c r="Z971" s="453" t="s">
        <v>5</v>
      </c>
      <c r="AA971" s="453" t="s">
        <v>7</v>
      </c>
      <c r="AB971" s="541"/>
      <c r="AC971" s="473"/>
      <c r="AD971" s="669">
        <f>AD972</f>
        <v>560893.6</v>
      </c>
      <c r="AE971" s="633">
        <f>AE972</f>
        <v>119722.4</v>
      </c>
      <c r="AF971" s="643">
        <f>AF972</f>
        <v>384937.2</v>
      </c>
    </row>
    <row r="972" spans="24:32" s="3" customFormat="1" x14ac:dyDescent="0.25">
      <c r="X972" s="457" t="s">
        <v>242</v>
      </c>
      <c r="Y972" s="452" t="s">
        <v>415</v>
      </c>
      <c r="Z972" s="453" t="s">
        <v>5</v>
      </c>
      <c r="AA972" s="453" t="s">
        <v>7</v>
      </c>
      <c r="AB972" s="542" t="s">
        <v>243</v>
      </c>
      <c r="AC972" s="473"/>
      <c r="AD972" s="669">
        <f>AD997+AD973</f>
        <v>560893.6</v>
      </c>
      <c r="AE972" s="633">
        <f>AE997+AE973</f>
        <v>119722.4</v>
      </c>
      <c r="AF972" s="643">
        <f>AF997+AF973</f>
        <v>384937.2</v>
      </c>
    </row>
    <row r="973" spans="24:32" s="3" customFormat="1" x14ac:dyDescent="0.25">
      <c r="X973" s="457" t="s">
        <v>369</v>
      </c>
      <c r="Y973" s="452" t="s">
        <v>415</v>
      </c>
      <c r="Z973" s="453" t="s">
        <v>5</v>
      </c>
      <c r="AA973" s="453" t="s">
        <v>7</v>
      </c>
      <c r="AB973" s="542" t="s">
        <v>370</v>
      </c>
      <c r="AC973" s="473"/>
      <c r="AD973" s="669">
        <f>AD974+AD987</f>
        <v>423176.3</v>
      </c>
      <c r="AE973" s="633">
        <f>AE974+AE987</f>
        <v>16969.400000000001</v>
      </c>
      <c r="AF973" s="643">
        <f>AF974+AF987</f>
        <v>242420</v>
      </c>
    </row>
    <row r="974" spans="24:32" s="3" customFormat="1" ht="31.5" x14ac:dyDescent="0.25">
      <c r="X974" s="457" t="s">
        <v>393</v>
      </c>
      <c r="Y974" s="452" t="s">
        <v>415</v>
      </c>
      <c r="Z974" s="453" t="s">
        <v>5</v>
      </c>
      <c r="AA974" s="453" t="s">
        <v>7</v>
      </c>
      <c r="AB974" s="542" t="s">
        <v>394</v>
      </c>
      <c r="AC974" s="473"/>
      <c r="AD974" s="669">
        <f>AD984+AD981+AD975+AD978</f>
        <v>250719.19999999998</v>
      </c>
      <c r="AE974" s="669">
        <f t="shared" ref="AE974:AF974" si="313">AE984+AE981+AE975+AE978</f>
        <v>0</v>
      </c>
      <c r="AF974" s="669">
        <f t="shared" si="313"/>
        <v>0</v>
      </c>
    </row>
    <row r="975" spans="24:32" s="3" customFormat="1" ht="41.25" customHeight="1" x14ac:dyDescent="0.25">
      <c r="X975" s="457" t="s">
        <v>808</v>
      </c>
      <c r="Y975" s="452" t="s">
        <v>415</v>
      </c>
      <c r="Z975" s="453" t="s">
        <v>5</v>
      </c>
      <c r="AA975" s="453" t="s">
        <v>7</v>
      </c>
      <c r="AB975" s="542" t="s">
        <v>809</v>
      </c>
      <c r="AC975" s="473"/>
      <c r="AD975" s="669">
        <f>AD976</f>
        <v>487</v>
      </c>
      <c r="AE975" s="669">
        <f t="shared" ref="AE975:AF975" si="314">AE976</f>
        <v>0</v>
      </c>
      <c r="AF975" s="669">
        <f t="shared" si="314"/>
        <v>0</v>
      </c>
    </row>
    <row r="976" spans="24:32" s="3" customFormat="1" x14ac:dyDescent="0.25">
      <c r="X976" s="451" t="s">
        <v>120</v>
      </c>
      <c r="Y976" s="452" t="s">
        <v>415</v>
      </c>
      <c r="Z976" s="453" t="s">
        <v>5</v>
      </c>
      <c r="AA976" s="453" t="s">
        <v>7</v>
      </c>
      <c r="AB976" s="542" t="s">
        <v>809</v>
      </c>
      <c r="AC976" s="473" t="s">
        <v>37</v>
      </c>
      <c r="AD976" s="669">
        <f>AD977</f>
        <v>487</v>
      </c>
      <c r="AE976" s="669">
        <f t="shared" ref="AE976:AF976" si="315">AE977</f>
        <v>0</v>
      </c>
      <c r="AF976" s="669">
        <f t="shared" si="315"/>
        <v>0</v>
      </c>
    </row>
    <row r="977" spans="24:32" s="3" customFormat="1" ht="31.5" x14ac:dyDescent="0.25">
      <c r="X977" s="451" t="s">
        <v>52</v>
      </c>
      <c r="Y977" s="452" t="s">
        <v>415</v>
      </c>
      <c r="Z977" s="453" t="s">
        <v>5</v>
      </c>
      <c r="AA977" s="453" t="s">
        <v>7</v>
      </c>
      <c r="AB977" s="542" t="s">
        <v>809</v>
      </c>
      <c r="AC977" s="473" t="s">
        <v>65</v>
      </c>
      <c r="AD977" s="669">
        <f>12113.7+337+150-12113.7</f>
        <v>487</v>
      </c>
      <c r="AE977" s="669">
        <v>0</v>
      </c>
      <c r="AF977" s="707">
        <v>0</v>
      </c>
    </row>
    <row r="978" spans="24:32" s="3" customFormat="1" x14ac:dyDescent="0.25">
      <c r="X978" s="451" t="s">
        <v>829</v>
      </c>
      <c r="Y978" s="452" t="s">
        <v>415</v>
      </c>
      <c r="Z978" s="453" t="s">
        <v>5</v>
      </c>
      <c r="AA978" s="453" t="s">
        <v>7</v>
      </c>
      <c r="AB978" s="542" t="s">
        <v>830</v>
      </c>
      <c r="AC978" s="454"/>
      <c r="AD978" s="669">
        <f>AD979</f>
        <v>14734.3</v>
      </c>
      <c r="AE978" s="669">
        <f t="shared" ref="AE978:AF978" si="316">AE979</f>
        <v>0</v>
      </c>
      <c r="AF978" s="669">
        <f t="shared" si="316"/>
        <v>0</v>
      </c>
    </row>
    <row r="979" spans="24:32" s="3" customFormat="1" x14ac:dyDescent="0.25">
      <c r="X979" s="451" t="s">
        <v>120</v>
      </c>
      <c r="Y979" s="452" t="s">
        <v>415</v>
      </c>
      <c r="Z979" s="453" t="s">
        <v>5</v>
      </c>
      <c r="AA979" s="453" t="s">
        <v>7</v>
      </c>
      <c r="AB979" s="542" t="s">
        <v>830</v>
      </c>
      <c r="AC979" s="482">
        <v>200</v>
      </c>
      <c r="AD979" s="669">
        <f>AD980</f>
        <v>14734.3</v>
      </c>
      <c r="AE979" s="669">
        <f t="shared" ref="AE979:AF979" si="317">AE980</f>
        <v>0</v>
      </c>
      <c r="AF979" s="669">
        <f t="shared" si="317"/>
        <v>0</v>
      </c>
    </row>
    <row r="980" spans="24:32" s="3" customFormat="1" ht="31.5" x14ac:dyDescent="0.25">
      <c r="X980" s="451" t="s">
        <v>52</v>
      </c>
      <c r="Y980" s="452" t="s">
        <v>415</v>
      </c>
      <c r="Z980" s="453" t="s">
        <v>5</v>
      </c>
      <c r="AA980" s="453" t="s">
        <v>7</v>
      </c>
      <c r="AB980" s="542" t="s">
        <v>830</v>
      </c>
      <c r="AC980" s="454">
        <v>240</v>
      </c>
      <c r="AD980" s="669">
        <v>14734.3</v>
      </c>
      <c r="AE980" s="669">
        <v>0</v>
      </c>
      <c r="AF980" s="707">
        <v>0</v>
      </c>
    </row>
    <row r="981" spans="24:32" s="3" customFormat="1" x14ac:dyDescent="0.25">
      <c r="X981" s="451" t="s">
        <v>753</v>
      </c>
      <c r="Y981" s="452" t="s">
        <v>415</v>
      </c>
      <c r="Z981" s="453" t="s">
        <v>5</v>
      </c>
      <c r="AA981" s="453" t="s">
        <v>7</v>
      </c>
      <c r="AB981" s="542" t="s">
        <v>754</v>
      </c>
      <c r="AC981" s="473"/>
      <c r="AD981" s="669">
        <f>AD982</f>
        <v>30471.4</v>
      </c>
      <c r="AE981" s="633">
        <f t="shared" ref="AE981:AF981" si="318">AE982</f>
        <v>0</v>
      </c>
      <c r="AF981" s="643">
        <f t="shared" si="318"/>
        <v>0</v>
      </c>
    </row>
    <row r="982" spans="24:32" s="3" customFormat="1" x14ac:dyDescent="0.25">
      <c r="X982" s="451" t="s">
        <v>120</v>
      </c>
      <c r="Y982" s="452" t="s">
        <v>415</v>
      </c>
      <c r="Z982" s="453" t="s">
        <v>5</v>
      </c>
      <c r="AA982" s="453" t="s">
        <v>7</v>
      </c>
      <c r="AB982" s="542" t="s">
        <v>754</v>
      </c>
      <c r="AC982" s="473" t="s">
        <v>37</v>
      </c>
      <c r="AD982" s="669">
        <f>AD983</f>
        <v>30471.4</v>
      </c>
      <c r="AE982" s="633">
        <f t="shared" ref="AE982:AF982" si="319">AE983</f>
        <v>0</v>
      </c>
      <c r="AF982" s="643">
        <f t="shared" si="319"/>
        <v>0</v>
      </c>
    </row>
    <row r="983" spans="24:32" s="3" customFormat="1" ht="19.5" customHeight="1" x14ac:dyDescent="0.25">
      <c r="X983" s="451" t="s">
        <v>52</v>
      </c>
      <c r="Y983" s="452" t="s">
        <v>415</v>
      </c>
      <c r="Z983" s="453" t="s">
        <v>5</v>
      </c>
      <c r="AA983" s="453" t="s">
        <v>7</v>
      </c>
      <c r="AB983" s="542" t="s">
        <v>754</v>
      </c>
      <c r="AC983" s="473" t="s">
        <v>65</v>
      </c>
      <c r="AD983" s="669">
        <f>5+30466.4</f>
        <v>30471.4</v>
      </c>
      <c r="AE983" s="633">
        <v>0</v>
      </c>
      <c r="AF983" s="643">
        <v>0</v>
      </c>
    </row>
    <row r="984" spans="24:32" s="3" customFormat="1" x14ac:dyDescent="0.25">
      <c r="X984" s="451" t="s">
        <v>396</v>
      </c>
      <c r="Y984" s="452" t="s">
        <v>415</v>
      </c>
      <c r="Z984" s="453" t="s">
        <v>5</v>
      </c>
      <c r="AA984" s="453" t="s">
        <v>7</v>
      </c>
      <c r="AB984" s="542" t="s">
        <v>397</v>
      </c>
      <c r="AC984" s="473"/>
      <c r="AD984" s="669">
        <f t="shared" ref="AD984:AF985" si="320">AD985</f>
        <v>205026.5</v>
      </c>
      <c r="AE984" s="633">
        <f t="shared" si="320"/>
        <v>0</v>
      </c>
      <c r="AF984" s="643">
        <f t="shared" si="320"/>
        <v>0</v>
      </c>
    </row>
    <row r="985" spans="24:32" s="3" customFormat="1" x14ac:dyDescent="0.25">
      <c r="X985" s="451" t="s">
        <v>120</v>
      </c>
      <c r="Y985" s="452" t="s">
        <v>415</v>
      </c>
      <c r="Z985" s="453" t="s">
        <v>5</v>
      </c>
      <c r="AA985" s="453" t="s">
        <v>7</v>
      </c>
      <c r="AB985" s="542" t="s">
        <v>397</v>
      </c>
      <c r="AC985" s="473" t="s">
        <v>37</v>
      </c>
      <c r="AD985" s="669">
        <f t="shared" si="320"/>
        <v>205026.5</v>
      </c>
      <c r="AE985" s="633">
        <f t="shared" si="320"/>
        <v>0</v>
      </c>
      <c r="AF985" s="643">
        <f t="shared" si="320"/>
        <v>0</v>
      </c>
    </row>
    <row r="986" spans="24:32" s="3" customFormat="1" ht="31.5" x14ac:dyDescent="0.25">
      <c r="X986" s="451" t="s">
        <v>52</v>
      </c>
      <c r="Y986" s="452" t="s">
        <v>415</v>
      </c>
      <c r="Z986" s="453" t="s">
        <v>5</v>
      </c>
      <c r="AA986" s="453" t="s">
        <v>7</v>
      </c>
      <c r="AB986" s="542" t="s">
        <v>397</v>
      </c>
      <c r="AC986" s="473" t="s">
        <v>65</v>
      </c>
      <c r="AD986" s="669">
        <f>193273.6+39026.4-4444.1-22008.7-137.9-682.8</f>
        <v>205026.5</v>
      </c>
      <c r="AE986" s="633">
        <v>0</v>
      </c>
      <c r="AF986" s="643">
        <v>0</v>
      </c>
    </row>
    <row r="987" spans="24:32" s="3" customFormat="1" x14ac:dyDescent="0.25">
      <c r="X987" s="466" t="s">
        <v>649</v>
      </c>
      <c r="Y987" s="452" t="s">
        <v>415</v>
      </c>
      <c r="Z987" s="453" t="s">
        <v>5</v>
      </c>
      <c r="AA987" s="453" t="s">
        <v>7</v>
      </c>
      <c r="AB987" s="409" t="s">
        <v>650</v>
      </c>
      <c r="AC987" s="473"/>
      <c r="AD987" s="669">
        <f>AD991+AD994+AD988</f>
        <v>172457.1</v>
      </c>
      <c r="AE987" s="669">
        <f t="shared" ref="AE987:AF987" si="321">AE991+AE994+AE988</f>
        <v>16969.400000000001</v>
      </c>
      <c r="AF987" s="669">
        <f t="shared" si="321"/>
        <v>242420</v>
      </c>
    </row>
    <row r="988" spans="24:32" s="3" customFormat="1" ht="66.75" customHeight="1" x14ac:dyDescent="0.25">
      <c r="X988" s="466" t="s">
        <v>789</v>
      </c>
      <c r="Y988" s="452" t="s">
        <v>415</v>
      </c>
      <c r="Z988" s="453" t="s">
        <v>5</v>
      </c>
      <c r="AA988" s="453" t="s">
        <v>7</v>
      </c>
      <c r="AB988" s="409" t="s">
        <v>790</v>
      </c>
      <c r="AC988" s="473"/>
      <c r="AD988" s="669">
        <f t="shared" ref="AD988:AF989" si="322">AD989</f>
        <v>30382</v>
      </c>
      <c r="AE988" s="633">
        <f t="shared" si="322"/>
        <v>0</v>
      </c>
      <c r="AF988" s="633">
        <f t="shared" si="322"/>
        <v>0</v>
      </c>
    </row>
    <row r="989" spans="24:32" s="3" customFormat="1" x14ac:dyDescent="0.25">
      <c r="X989" s="451" t="s">
        <v>120</v>
      </c>
      <c r="Y989" s="452" t="s">
        <v>415</v>
      </c>
      <c r="Z989" s="453" t="s">
        <v>5</v>
      </c>
      <c r="AA989" s="453" t="s">
        <v>7</v>
      </c>
      <c r="AB989" s="409" t="s">
        <v>790</v>
      </c>
      <c r="AC989" s="473" t="s">
        <v>37</v>
      </c>
      <c r="AD989" s="669">
        <f t="shared" si="322"/>
        <v>30382</v>
      </c>
      <c r="AE989" s="633">
        <f t="shared" si="322"/>
        <v>0</v>
      </c>
      <c r="AF989" s="633">
        <f t="shared" si="322"/>
        <v>0</v>
      </c>
    </row>
    <row r="990" spans="24:32" s="3" customFormat="1" ht="31.5" x14ac:dyDescent="0.25">
      <c r="X990" s="451" t="s">
        <v>52</v>
      </c>
      <c r="Y990" s="452" t="s">
        <v>415</v>
      </c>
      <c r="Z990" s="453" t="s">
        <v>5</v>
      </c>
      <c r="AA990" s="453" t="s">
        <v>7</v>
      </c>
      <c r="AB990" s="409" t="s">
        <v>790</v>
      </c>
      <c r="AC990" s="473" t="s">
        <v>65</v>
      </c>
      <c r="AD990" s="669">
        <f>30382+11026.4-11026.4</f>
        <v>30382</v>
      </c>
      <c r="AE990" s="633">
        <v>0</v>
      </c>
      <c r="AF990" s="643">
        <v>0</v>
      </c>
    </row>
    <row r="991" spans="24:32" s="3" customFormat="1" ht="47.25" x14ac:dyDescent="0.25">
      <c r="X991" s="523" t="s">
        <v>648</v>
      </c>
      <c r="Y991" s="452" t="s">
        <v>415</v>
      </c>
      <c r="Z991" s="453" t="s">
        <v>5</v>
      </c>
      <c r="AA991" s="453" t="s">
        <v>7</v>
      </c>
      <c r="AB991" s="409" t="s">
        <v>651</v>
      </c>
      <c r="AC991" s="473"/>
      <c r="AD991" s="669">
        <f t="shared" ref="AD991:AF995" si="323">AD992</f>
        <v>142075.1</v>
      </c>
      <c r="AE991" s="633">
        <f t="shared" si="323"/>
        <v>0</v>
      </c>
      <c r="AF991" s="643">
        <f t="shared" si="323"/>
        <v>0</v>
      </c>
    </row>
    <row r="992" spans="24:32" s="3" customFormat="1" x14ac:dyDescent="0.25">
      <c r="X992" s="451" t="s">
        <v>120</v>
      </c>
      <c r="Y992" s="452" t="s">
        <v>415</v>
      </c>
      <c r="Z992" s="453" t="s">
        <v>5</v>
      </c>
      <c r="AA992" s="453" t="s">
        <v>7</v>
      </c>
      <c r="AB992" s="409" t="s">
        <v>651</v>
      </c>
      <c r="AC992" s="473" t="s">
        <v>37</v>
      </c>
      <c r="AD992" s="669">
        <f t="shared" si="323"/>
        <v>142075.1</v>
      </c>
      <c r="AE992" s="633">
        <f t="shared" si="323"/>
        <v>0</v>
      </c>
      <c r="AF992" s="643">
        <f t="shared" si="323"/>
        <v>0</v>
      </c>
    </row>
    <row r="993" spans="1:34" ht="31.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52</v>
      </c>
      <c r="Y993" s="452" t="s">
        <v>415</v>
      </c>
      <c r="Z993" s="453" t="s">
        <v>5</v>
      </c>
      <c r="AA993" s="453" t="s">
        <v>7</v>
      </c>
      <c r="AB993" s="409" t="s">
        <v>651</v>
      </c>
      <c r="AC993" s="473" t="s">
        <v>65</v>
      </c>
      <c r="AD993" s="669">
        <f>92572.4+20183.3+24071.2+5248.2</f>
        <v>142075.1</v>
      </c>
      <c r="AE993" s="633">
        <v>0</v>
      </c>
      <c r="AF993" s="643">
        <v>0</v>
      </c>
      <c r="AG993" s="3"/>
      <c r="AH993" s="3"/>
    </row>
    <row r="994" spans="1:34" ht="31.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621</v>
      </c>
      <c r="Y994" s="452" t="s">
        <v>415</v>
      </c>
      <c r="Z994" s="453" t="s">
        <v>5</v>
      </c>
      <c r="AA994" s="453" t="s">
        <v>7</v>
      </c>
      <c r="AB994" s="409" t="s">
        <v>654</v>
      </c>
      <c r="AC994" s="473"/>
      <c r="AD994" s="669">
        <f>AD995</f>
        <v>0</v>
      </c>
      <c r="AE994" s="633">
        <f t="shared" si="323"/>
        <v>16969.400000000001</v>
      </c>
      <c r="AF994" s="643">
        <f>AF995</f>
        <v>242420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1" t="s">
        <v>120</v>
      </c>
      <c r="Y995" s="452" t="s">
        <v>415</v>
      </c>
      <c r="Z995" s="453" t="s">
        <v>5</v>
      </c>
      <c r="AA995" s="453" t="s">
        <v>7</v>
      </c>
      <c r="AB995" s="409" t="s">
        <v>654</v>
      </c>
      <c r="AC995" s="473" t="s">
        <v>37</v>
      </c>
      <c r="AD995" s="669">
        <f>AD996</f>
        <v>0</v>
      </c>
      <c r="AE995" s="633">
        <f t="shared" si="323"/>
        <v>16969.400000000001</v>
      </c>
      <c r="AF995" s="643">
        <f>AF996</f>
        <v>242420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52</v>
      </c>
      <c r="Y996" s="452" t="s">
        <v>415</v>
      </c>
      <c r="Z996" s="453" t="s">
        <v>5</v>
      </c>
      <c r="AA996" s="453" t="s">
        <v>7</v>
      </c>
      <c r="AB996" s="409" t="s">
        <v>654</v>
      </c>
      <c r="AC996" s="473" t="s">
        <v>65</v>
      </c>
      <c r="AD996" s="669">
        <v>0</v>
      </c>
      <c r="AE996" s="633">
        <f>13931.9+3037.5</f>
        <v>16969.400000000001</v>
      </c>
      <c r="AF996" s="643">
        <f>199026.8+43393.2</f>
        <v>242420</v>
      </c>
      <c r="AG996" s="3"/>
      <c r="AH996" s="3"/>
    </row>
    <row r="997" spans="1:34" ht="31.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7" t="s">
        <v>539</v>
      </c>
      <c r="Y997" s="452" t="s">
        <v>415</v>
      </c>
      <c r="Z997" s="453" t="s">
        <v>5</v>
      </c>
      <c r="AA997" s="453" t="s">
        <v>7</v>
      </c>
      <c r="AB997" s="542" t="s">
        <v>244</v>
      </c>
      <c r="AC997" s="473"/>
      <c r="AD997" s="669">
        <f>AD998+AD1017</f>
        <v>137717.29999999999</v>
      </c>
      <c r="AE997" s="669">
        <f>AE998+AE1017</f>
        <v>102753</v>
      </c>
      <c r="AF997" s="669">
        <f>AF998+AF1017</f>
        <v>142517.20000000001</v>
      </c>
      <c r="AG997" s="3"/>
      <c r="AH997" s="3"/>
    </row>
    <row r="998" spans="1:34" ht="31.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66" t="s">
        <v>540</v>
      </c>
      <c r="Y998" s="452" t="s">
        <v>415</v>
      </c>
      <c r="Z998" s="453" t="s">
        <v>5</v>
      </c>
      <c r="AA998" s="453" t="s">
        <v>7</v>
      </c>
      <c r="AB998" s="542" t="s">
        <v>245</v>
      </c>
      <c r="AC998" s="454"/>
      <c r="AD998" s="669">
        <f>AD1002+AD1005+AD1014+AD1011+AD1008+AD999</f>
        <v>99138.2</v>
      </c>
      <c r="AE998" s="669">
        <f t="shared" ref="AE998:AF998" si="324">AE1002+AE1005+AE1014+AE1011+AE1008+AE999</f>
        <v>62630.7</v>
      </c>
      <c r="AF998" s="669">
        <f t="shared" si="324"/>
        <v>100789.9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66" t="s">
        <v>778</v>
      </c>
      <c r="Y999" s="452" t="s">
        <v>415</v>
      </c>
      <c r="Z999" s="453" t="s">
        <v>5</v>
      </c>
      <c r="AA999" s="453" t="s">
        <v>7</v>
      </c>
      <c r="AB999" s="542" t="s">
        <v>779</v>
      </c>
      <c r="AC999" s="454"/>
      <c r="AD999" s="669">
        <f>AD1000</f>
        <v>32449.7</v>
      </c>
      <c r="AE999" s="633">
        <f t="shared" ref="AE999:AF1000" si="325">AE1000</f>
        <v>0</v>
      </c>
      <c r="AF999" s="643">
        <f t="shared" si="325"/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51" t="s">
        <v>120</v>
      </c>
      <c r="Y1000" s="452" t="s">
        <v>415</v>
      </c>
      <c r="Z1000" s="453" t="s">
        <v>5</v>
      </c>
      <c r="AA1000" s="453" t="s">
        <v>7</v>
      </c>
      <c r="AB1000" s="542" t="s">
        <v>779</v>
      </c>
      <c r="AC1000" s="473" t="s">
        <v>37</v>
      </c>
      <c r="AD1000" s="669">
        <f>AD1001</f>
        <v>32449.7</v>
      </c>
      <c r="AE1000" s="633">
        <f t="shared" si="325"/>
        <v>0</v>
      </c>
      <c r="AF1000" s="643">
        <f t="shared" si="325"/>
        <v>0</v>
      </c>
      <c r="AG1000" s="3"/>
      <c r="AH1000" s="3"/>
    </row>
    <row r="1001" spans="1:34" ht="24.7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51" t="s">
        <v>52</v>
      </c>
      <c r="Y1001" s="452" t="s">
        <v>415</v>
      </c>
      <c r="Z1001" s="453" t="s">
        <v>5</v>
      </c>
      <c r="AA1001" s="453" t="s">
        <v>7</v>
      </c>
      <c r="AB1001" s="542" t="s">
        <v>779</v>
      </c>
      <c r="AC1001" s="473" t="s">
        <v>65</v>
      </c>
      <c r="AD1001" s="669">
        <f>1500-0.1-0.2+13050+14300+600+3000</f>
        <v>32449.7</v>
      </c>
      <c r="AE1001" s="633">
        <v>0</v>
      </c>
      <c r="AF1001" s="643">
        <v>0</v>
      </c>
      <c r="AG1001" s="3"/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660" t="s">
        <v>577</v>
      </c>
      <c r="Y1002" s="452" t="s">
        <v>415</v>
      </c>
      <c r="Z1002" s="453" t="s">
        <v>5</v>
      </c>
      <c r="AA1002" s="453" t="s">
        <v>7</v>
      </c>
      <c r="AB1002" s="542" t="s">
        <v>576</v>
      </c>
      <c r="AC1002" s="454"/>
      <c r="AD1002" s="669">
        <f t="shared" ref="AD1002:AF1003" si="326">AD1003</f>
        <v>0</v>
      </c>
      <c r="AE1002" s="633">
        <f t="shared" si="326"/>
        <v>4891.6000000000004</v>
      </c>
      <c r="AF1002" s="643">
        <f t="shared" si="326"/>
        <v>32860.699999999997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120</v>
      </c>
      <c r="Y1003" s="452" t="s">
        <v>415</v>
      </c>
      <c r="Z1003" s="453" t="s">
        <v>5</v>
      </c>
      <c r="AA1003" s="453" t="s">
        <v>7</v>
      </c>
      <c r="AB1003" s="542" t="s">
        <v>576</v>
      </c>
      <c r="AC1003" s="482">
        <v>200</v>
      </c>
      <c r="AD1003" s="669">
        <f t="shared" si="326"/>
        <v>0</v>
      </c>
      <c r="AE1003" s="633">
        <f t="shared" si="326"/>
        <v>4891.6000000000004</v>
      </c>
      <c r="AF1003" s="643">
        <f t="shared" si="326"/>
        <v>32860.699999999997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52</v>
      </c>
      <c r="Y1004" s="452" t="s">
        <v>415</v>
      </c>
      <c r="Z1004" s="453" t="s">
        <v>5</v>
      </c>
      <c r="AA1004" s="453" t="s">
        <v>7</v>
      </c>
      <c r="AB1004" s="542" t="s">
        <v>576</v>
      </c>
      <c r="AC1004" s="454">
        <v>240</v>
      </c>
      <c r="AD1004" s="669">
        <v>0</v>
      </c>
      <c r="AE1004" s="633">
        <f>31597-0.3-11133.7-15571.4</f>
        <v>4891.6000000000004</v>
      </c>
      <c r="AF1004" s="643">
        <f>32861-0.3</f>
        <v>32860.699999999997</v>
      </c>
      <c r="AG1004" s="264"/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433</v>
      </c>
      <c r="Y1005" s="452" t="s">
        <v>415</v>
      </c>
      <c r="Z1005" s="453" t="s">
        <v>5</v>
      </c>
      <c r="AA1005" s="453" t="s">
        <v>7</v>
      </c>
      <c r="AB1005" s="542" t="s">
        <v>401</v>
      </c>
      <c r="AC1005" s="454"/>
      <c r="AD1005" s="669">
        <f t="shared" ref="AD1005:AF1006" si="327">AD1006</f>
        <v>32793.300000000003</v>
      </c>
      <c r="AE1005" s="633">
        <f t="shared" si="327"/>
        <v>22488.1</v>
      </c>
      <c r="AF1005" s="643">
        <f t="shared" si="327"/>
        <v>31269.200000000001</v>
      </c>
      <c r="AG1005" s="26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51" t="s">
        <v>120</v>
      </c>
      <c r="Y1006" s="452" t="s">
        <v>415</v>
      </c>
      <c r="Z1006" s="453" t="s">
        <v>5</v>
      </c>
      <c r="AA1006" s="453" t="s">
        <v>7</v>
      </c>
      <c r="AB1006" s="542" t="s">
        <v>401</v>
      </c>
      <c r="AC1006" s="482">
        <v>200</v>
      </c>
      <c r="AD1006" s="669">
        <f t="shared" si="327"/>
        <v>32793.300000000003</v>
      </c>
      <c r="AE1006" s="633">
        <f t="shared" si="327"/>
        <v>22488.1</v>
      </c>
      <c r="AF1006" s="643">
        <f t="shared" si="327"/>
        <v>31269.200000000001</v>
      </c>
      <c r="AG1006" s="263"/>
      <c r="AH1006" s="3"/>
    </row>
    <row r="1007" spans="1:34" ht="31.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51" t="s">
        <v>52</v>
      </c>
      <c r="Y1007" s="452" t="s">
        <v>415</v>
      </c>
      <c r="Z1007" s="453" t="s">
        <v>5</v>
      </c>
      <c r="AA1007" s="453" t="s">
        <v>7</v>
      </c>
      <c r="AB1007" s="542" t="s">
        <v>401</v>
      </c>
      <c r="AC1007" s="454">
        <v>240</v>
      </c>
      <c r="AD1007" s="669">
        <f>45027.6-11026.4+11026.4-14734.3+1300+600+600</f>
        <v>32793.300000000003</v>
      </c>
      <c r="AE1007" s="634">
        <f>45027.6-22267.5-272</f>
        <v>22488.1</v>
      </c>
      <c r="AF1007" s="643">
        <v>31269.200000000001</v>
      </c>
      <c r="AG1007" s="264"/>
      <c r="AH1007" s="694" t="s">
        <v>792</v>
      </c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629</v>
      </c>
      <c r="Y1008" s="452" t="s">
        <v>415</v>
      </c>
      <c r="Z1008" s="453" t="s">
        <v>5</v>
      </c>
      <c r="AA1008" s="453" t="s">
        <v>7</v>
      </c>
      <c r="AB1008" s="542" t="s">
        <v>628</v>
      </c>
      <c r="AC1008" s="454"/>
      <c r="AD1008" s="669">
        <f t="shared" ref="AD1008:AF1009" si="328">AD1009</f>
        <v>15915.2</v>
      </c>
      <c r="AE1008" s="633">
        <f t="shared" si="328"/>
        <v>16552</v>
      </c>
      <c r="AF1008" s="643">
        <f t="shared" si="328"/>
        <v>17214</v>
      </c>
      <c r="AG1008" s="264"/>
      <c r="AH1008" s="3"/>
    </row>
    <row r="1009" spans="24:33" s="3" customFormat="1" x14ac:dyDescent="0.25">
      <c r="X1009" s="451" t="s">
        <v>120</v>
      </c>
      <c r="Y1009" s="452" t="s">
        <v>415</v>
      </c>
      <c r="Z1009" s="453" t="s">
        <v>5</v>
      </c>
      <c r="AA1009" s="453" t="s">
        <v>7</v>
      </c>
      <c r="AB1009" s="542" t="s">
        <v>628</v>
      </c>
      <c r="AC1009" s="482">
        <v>200</v>
      </c>
      <c r="AD1009" s="669">
        <f t="shared" si="328"/>
        <v>15915.2</v>
      </c>
      <c r="AE1009" s="633">
        <f t="shared" si="328"/>
        <v>16552</v>
      </c>
      <c r="AF1009" s="643">
        <f t="shared" si="328"/>
        <v>17214</v>
      </c>
      <c r="AG1009" s="264"/>
    </row>
    <row r="1010" spans="24:33" s="3" customFormat="1" ht="31.5" x14ac:dyDescent="0.25">
      <c r="X1010" s="451" t="s">
        <v>52</v>
      </c>
      <c r="Y1010" s="452" t="s">
        <v>415</v>
      </c>
      <c r="Z1010" s="453" t="s">
        <v>5</v>
      </c>
      <c r="AA1010" s="453" t="s">
        <v>7</v>
      </c>
      <c r="AB1010" s="542" t="s">
        <v>628</v>
      </c>
      <c r="AC1010" s="454">
        <v>240</v>
      </c>
      <c r="AD1010" s="669">
        <f>15915+0.2</f>
        <v>15915.2</v>
      </c>
      <c r="AE1010" s="633">
        <v>16552</v>
      </c>
      <c r="AF1010" s="643">
        <v>17214</v>
      </c>
      <c r="AG1010" s="264"/>
    </row>
    <row r="1011" spans="24:33" s="3" customFormat="1" x14ac:dyDescent="0.25">
      <c r="X1011" s="451" t="s">
        <v>626</v>
      </c>
      <c r="Y1011" s="452" t="s">
        <v>415</v>
      </c>
      <c r="Z1011" s="453" t="s">
        <v>5</v>
      </c>
      <c r="AA1011" s="453" t="s">
        <v>7</v>
      </c>
      <c r="AB1011" s="542" t="s">
        <v>627</v>
      </c>
      <c r="AC1011" s="454"/>
      <c r="AD1011" s="669">
        <f t="shared" ref="AD1011:AF1012" si="329">AD1012</f>
        <v>14147</v>
      </c>
      <c r="AE1011" s="633">
        <f t="shared" si="329"/>
        <v>14713</v>
      </c>
      <c r="AF1011" s="643">
        <f t="shared" si="329"/>
        <v>15301</v>
      </c>
      <c r="AG1011" s="264"/>
    </row>
    <row r="1012" spans="24:33" s="3" customFormat="1" x14ac:dyDescent="0.25">
      <c r="X1012" s="451" t="s">
        <v>120</v>
      </c>
      <c r="Y1012" s="452" t="s">
        <v>415</v>
      </c>
      <c r="Z1012" s="453" t="s">
        <v>5</v>
      </c>
      <c r="AA1012" s="453" t="s">
        <v>7</v>
      </c>
      <c r="AB1012" s="542" t="s">
        <v>627</v>
      </c>
      <c r="AC1012" s="482">
        <v>200</v>
      </c>
      <c r="AD1012" s="669">
        <f t="shared" si="329"/>
        <v>14147</v>
      </c>
      <c r="AE1012" s="633">
        <f t="shared" si="329"/>
        <v>14713</v>
      </c>
      <c r="AF1012" s="643">
        <f t="shared" si="329"/>
        <v>15301</v>
      </c>
      <c r="AG1012" s="264"/>
    </row>
    <row r="1013" spans="24:33" s="3" customFormat="1" ht="31.5" x14ac:dyDescent="0.25">
      <c r="X1013" s="451" t="s">
        <v>52</v>
      </c>
      <c r="Y1013" s="452" t="s">
        <v>415</v>
      </c>
      <c r="Z1013" s="453" t="s">
        <v>5</v>
      </c>
      <c r="AA1013" s="453" t="s">
        <v>7</v>
      </c>
      <c r="AB1013" s="542" t="s">
        <v>627</v>
      </c>
      <c r="AC1013" s="454">
        <v>240</v>
      </c>
      <c r="AD1013" s="669">
        <f>14147</f>
        <v>14147</v>
      </c>
      <c r="AE1013" s="633">
        <v>14713</v>
      </c>
      <c r="AF1013" s="643">
        <v>15301</v>
      </c>
      <c r="AG1013" s="264"/>
    </row>
    <row r="1014" spans="24:33" s="3" customFormat="1" x14ac:dyDescent="0.25">
      <c r="X1014" s="451" t="s">
        <v>428</v>
      </c>
      <c r="Y1014" s="452" t="s">
        <v>415</v>
      </c>
      <c r="Z1014" s="453" t="s">
        <v>5</v>
      </c>
      <c r="AA1014" s="453" t="s">
        <v>7</v>
      </c>
      <c r="AB1014" s="542" t="s">
        <v>690</v>
      </c>
      <c r="AC1014" s="454"/>
      <c r="AD1014" s="669">
        <f t="shared" ref="AD1014:AF1015" si="330">AD1015</f>
        <v>3833</v>
      </c>
      <c r="AE1014" s="633">
        <f t="shared" si="330"/>
        <v>3986</v>
      </c>
      <c r="AF1014" s="643">
        <f t="shared" si="330"/>
        <v>4145</v>
      </c>
      <c r="AG1014" s="264"/>
    </row>
    <row r="1015" spans="24:33" s="3" customFormat="1" x14ac:dyDescent="0.25">
      <c r="X1015" s="451" t="s">
        <v>120</v>
      </c>
      <c r="Y1015" s="452" t="s">
        <v>415</v>
      </c>
      <c r="Z1015" s="453" t="s">
        <v>5</v>
      </c>
      <c r="AA1015" s="453" t="s">
        <v>7</v>
      </c>
      <c r="AB1015" s="542" t="s">
        <v>690</v>
      </c>
      <c r="AC1015" s="482">
        <v>200</v>
      </c>
      <c r="AD1015" s="669">
        <f t="shared" si="330"/>
        <v>3833</v>
      </c>
      <c r="AE1015" s="633">
        <f t="shared" si="330"/>
        <v>3986</v>
      </c>
      <c r="AF1015" s="643">
        <f t="shared" si="330"/>
        <v>4145</v>
      </c>
      <c r="AG1015" s="264"/>
    </row>
    <row r="1016" spans="24:33" s="3" customFormat="1" ht="31.5" x14ac:dyDescent="0.25">
      <c r="X1016" s="451" t="s">
        <v>52</v>
      </c>
      <c r="Y1016" s="452" t="s">
        <v>415</v>
      </c>
      <c r="Z1016" s="453" t="s">
        <v>5</v>
      </c>
      <c r="AA1016" s="453" t="s">
        <v>7</v>
      </c>
      <c r="AB1016" s="542" t="s">
        <v>690</v>
      </c>
      <c r="AC1016" s="454">
        <v>240</v>
      </c>
      <c r="AD1016" s="669">
        <v>3833</v>
      </c>
      <c r="AE1016" s="633">
        <v>3986</v>
      </c>
      <c r="AF1016" s="643">
        <v>4145</v>
      </c>
      <c r="AG1016" s="264"/>
    </row>
    <row r="1017" spans="24:33" s="3" customFormat="1" x14ac:dyDescent="0.25">
      <c r="X1017" s="466" t="s">
        <v>649</v>
      </c>
      <c r="Y1017" s="452" t="s">
        <v>415</v>
      </c>
      <c r="Z1017" s="453" t="s">
        <v>5</v>
      </c>
      <c r="AA1017" s="453" t="s">
        <v>7</v>
      </c>
      <c r="AB1017" s="555" t="s">
        <v>822</v>
      </c>
      <c r="AC1017" s="454"/>
      <c r="AD1017" s="669">
        <f>AD1018</f>
        <v>38579.1</v>
      </c>
      <c r="AE1017" s="669">
        <f t="shared" ref="AE1017:AF1017" si="331">AE1018</f>
        <v>40122.300000000003</v>
      </c>
      <c r="AF1017" s="669">
        <f t="shared" si="331"/>
        <v>41727.300000000003</v>
      </c>
      <c r="AG1017" s="264"/>
    </row>
    <row r="1018" spans="24:33" s="3" customFormat="1" x14ac:dyDescent="0.25">
      <c r="X1018" s="466" t="s">
        <v>395</v>
      </c>
      <c r="Y1018" s="452" t="s">
        <v>415</v>
      </c>
      <c r="Z1018" s="453" t="s">
        <v>5</v>
      </c>
      <c r="AA1018" s="453" t="s">
        <v>7</v>
      </c>
      <c r="AB1018" s="555" t="s">
        <v>791</v>
      </c>
      <c r="AC1018" s="454"/>
      <c r="AD1018" s="669">
        <f>AD1019</f>
        <v>38579.1</v>
      </c>
      <c r="AE1018" s="633">
        <f t="shared" ref="AE1018:AF1018" si="332">AE1019</f>
        <v>40122.300000000003</v>
      </c>
      <c r="AF1018" s="643">
        <f t="shared" si="332"/>
        <v>41727.300000000003</v>
      </c>
      <c r="AG1018" s="264"/>
    </row>
    <row r="1019" spans="24:33" s="3" customFormat="1" x14ac:dyDescent="0.25">
      <c r="X1019" s="451" t="s">
        <v>120</v>
      </c>
      <c r="Y1019" s="452" t="s">
        <v>415</v>
      </c>
      <c r="Z1019" s="453" t="s">
        <v>5</v>
      </c>
      <c r="AA1019" s="453" t="s">
        <v>7</v>
      </c>
      <c r="AB1019" s="555" t="s">
        <v>791</v>
      </c>
      <c r="AC1019" s="454">
        <v>200</v>
      </c>
      <c r="AD1019" s="669">
        <f t="shared" ref="AD1019:AF1019" si="333">AD1020</f>
        <v>38579.1</v>
      </c>
      <c r="AE1019" s="633">
        <f t="shared" si="333"/>
        <v>40122.300000000003</v>
      </c>
      <c r="AF1019" s="643">
        <f t="shared" si="333"/>
        <v>41727.300000000003</v>
      </c>
      <c r="AG1019" s="264"/>
    </row>
    <row r="1020" spans="24:33" s="3" customFormat="1" ht="31.5" x14ac:dyDescent="0.25">
      <c r="X1020" s="451" t="s">
        <v>52</v>
      </c>
      <c r="Y1020" s="452" t="s">
        <v>415</v>
      </c>
      <c r="Z1020" s="453" t="s">
        <v>5</v>
      </c>
      <c r="AA1020" s="453" t="s">
        <v>7</v>
      </c>
      <c r="AB1020" s="555" t="s">
        <v>791</v>
      </c>
      <c r="AC1020" s="454">
        <v>240</v>
      </c>
      <c r="AD1020" s="669">
        <f>38579+0.1</f>
        <v>38579.1</v>
      </c>
      <c r="AE1020" s="633">
        <f>40122+0.3</f>
        <v>40122.300000000003</v>
      </c>
      <c r="AF1020" s="643">
        <f>41727+0.3</f>
        <v>41727.300000000003</v>
      </c>
      <c r="AG1020" s="264"/>
    </row>
    <row r="1021" spans="24:33" s="3" customFormat="1" x14ac:dyDescent="0.25">
      <c r="X1021" s="451" t="s">
        <v>27</v>
      </c>
      <c r="Y1021" s="452" t="s">
        <v>415</v>
      </c>
      <c r="Z1021" s="453" t="s">
        <v>5</v>
      </c>
      <c r="AA1021" s="453" t="s">
        <v>5</v>
      </c>
      <c r="AB1021" s="541"/>
      <c r="AC1021" s="482"/>
      <c r="AD1021" s="669">
        <f>AD1028+AD1022</f>
        <v>30952.800000000003</v>
      </c>
      <c r="AE1021" s="633">
        <f t="shared" ref="AE1021:AF1021" si="334">AE1028+AE1022</f>
        <v>30209.8</v>
      </c>
      <c r="AF1021" s="643">
        <f t="shared" si="334"/>
        <v>30215.399999999998</v>
      </c>
      <c r="AG1021" s="18"/>
    </row>
    <row r="1022" spans="24:33" s="3" customFormat="1" x14ac:dyDescent="0.25">
      <c r="X1022" s="457" t="s">
        <v>186</v>
      </c>
      <c r="Y1022" s="452" t="s">
        <v>415</v>
      </c>
      <c r="Z1022" s="453" t="s">
        <v>5</v>
      </c>
      <c r="AA1022" s="453" t="s">
        <v>5</v>
      </c>
      <c r="AB1022" s="542" t="s">
        <v>112</v>
      </c>
      <c r="AC1022" s="482"/>
      <c r="AD1022" s="669">
        <f>AD1023</f>
        <v>124.39999999999999</v>
      </c>
      <c r="AE1022" s="633">
        <f t="shared" ref="AE1022:AF1022" si="335">AE1023</f>
        <v>87.9</v>
      </c>
      <c r="AF1022" s="643">
        <f t="shared" si="335"/>
        <v>91.5</v>
      </c>
      <c r="AG1022" s="18"/>
    </row>
    <row r="1023" spans="24:33" s="3" customFormat="1" x14ac:dyDescent="0.25">
      <c r="X1023" s="457" t="s">
        <v>189</v>
      </c>
      <c r="Y1023" s="452" t="s">
        <v>415</v>
      </c>
      <c r="Z1023" s="453" t="s">
        <v>5</v>
      </c>
      <c r="AA1023" s="453" t="s">
        <v>5</v>
      </c>
      <c r="AB1023" s="542" t="s">
        <v>190</v>
      </c>
      <c r="AC1023" s="482"/>
      <c r="AD1023" s="669">
        <f>AD1024</f>
        <v>124.39999999999999</v>
      </c>
      <c r="AE1023" s="633">
        <f t="shared" ref="AE1023:AF1023" si="336">AE1024</f>
        <v>87.9</v>
      </c>
      <c r="AF1023" s="643">
        <f t="shared" si="336"/>
        <v>91.5</v>
      </c>
      <c r="AG1023" s="18"/>
    </row>
    <row r="1024" spans="24:33" s="3" customFormat="1" ht="31.5" x14ac:dyDescent="0.25">
      <c r="X1024" s="451" t="s">
        <v>533</v>
      </c>
      <c r="Y1024" s="452" t="s">
        <v>415</v>
      </c>
      <c r="Z1024" s="453" t="s">
        <v>5</v>
      </c>
      <c r="AA1024" s="453" t="s">
        <v>5</v>
      </c>
      <c r="AB1024" s="544" t="s">
        <v>534</v>
      </c>
      <c r="AC1024" s="454"/>
      <c r="AD1024" s="669">
        <f>AD1025</f>
        <v>124.39999999999999</v>
      </c>
      <c r="AE1024" s="633">
        <f t="shared" ref="AE1024:AF1026" si="337">AE1025</f>
        <v>87.9</v>
      </c>
      <c r="AF1024" s="643">
        <f t="shared" si="337"/>
        <v>91.5</v>
      </c>
      <c r="AG1024" s="18"/>
    </row>
    <row r="1025" spans="24:33" s="3" customFormat="1" ht="78.75" x14ac:dyDescent="0.25">
      <c r="X1025" s="451" t="s">
        <v>405</v>
      </c>
      <c r="Y1025" s="452" t="s">
        <v>415</v>
      </c>
      <c r="Z1025" s="453" t="s">
        <v>5</v>
      </c>
      <c r="AA1025" s="453" t="s">
        <v>5</v>
      </c>
      <c r="AB1025" s="542" t="s">
        <v>535</v>
      </c>
      <c r="AC1025" s="454"/>
      <c r="AD1025" s="669">
        <f>AD1026</f>
        <v>124.39999999999999</v>
      </c>
      <c r="AE1025" s="633">
        <f t="shared" si="337"/>
        <v>87.9</v>
      </c>
      <c r="AF1025" s="643">
        <f t="shared" si="337"/>
        <v>91.5</v>
      </c>
      <c r="AG1025" s="18"/>
    </row>
    <row r="1026" spans="24:33" s="3" customFormat="1" x14ac:dyDescent="0.25">
      <c r="X1026" s="451" t="s">
        <v>120</v>
      </c>
      <c r="Y1026" s="452" t="s">
        <v>415</v>
      </c>
      <c r="Z1026" s="453" t="s">
        <v>5</v>
      </c>
      <c r="AA1026" s="453" t="s">
        <v>5</v>
      </c>
      <c r="AB1026" s="542" t="s">
        <v>535</v>
      </c>
      <c r="AC1026" s="454">
        <v>200</v>
      </c>
      <c r="AD1026" s="669">
        <f>AD1027</f>
        <v>124.39999999999999</v>
      </c>
      <c r="AE1026" s="633">
        <f t="shared" si="337"/>
        <v>87.9</v>
      </c>
      <c r="AF1026" s="643">
        <f t="shared" si="337"/>
        <v>91.5</v>
      </c>
      <c r="AG1026" s="18"/>
    </row>
    <row r="1027" spans="24:33" s="3" customFormat="1" ht="31.5" x14ac:dyDescent="0.25">
      <c r="X1027" s="451" t="s">
        <v>52</v>
      </c>
      <c r="Y1027" s="452" t="s">
        <v>415</v>
      </c>
      <c r="Z1027" s="453" t="s">
        <v>5</v>
      </c>
      <c r="AA1027" s="453" t="s">
        <v>5</v>
      </c>
      <c r="AB1027" s="542" t="s">
        <v>535</v>
      </c>
      <c r="AC1027" s="454">
        <v>240</v>
      </c>
      <c r="AD1027" s="669">
        <f>84.6+39.8</f>
        <v>124.39999999999999</v>
      </c>
      <c r="AE1027" s="633">
        <v>87.9</v>
      </c>
      <c r="AF1027" s="643">
        <v>91.5</v>
      </c>
      <c r="AG1027" s="18"/>
    </row>
    <row r="1028" spans="24:33" s="3" customFormat="1" x14ac:dyDescent="0.25">
      <c r="X1028" s="457" t="s">
        <v>242</v>
      </c>
      <c r="Y1028" s="452" t="s">
        <v>415</v>
      </c>
      <c r="Z1028" s="453" t="s">
        <v>5</v>
      </c>
      <c r="AA1028" s="453" t="s">
        <v>5</v>
      </c>
      <c r="AB1028" s="542" t="s">
        <v>243</v>
      </c>
      <c r="AC1028" s="482"/>
      <c r="AD1028" s="669">
        <f>AD1036+AD1029</f>
        <v>30828.400000000001</v>
      </c>
      <c r="AE1028" s="633">
        <f>AE1036+AE1029</f>
        <v>30121.899999999998</v>
      </c>
      <c r="AF1028" s="643">
        <f>AF1036+AF1029</f>
        <v>30123.899999999998</v>
      </c>
    </row>
    <row r="1029" spans="24:33" s="3" customFormat="1" ht="31.5" x14ac:dyDescent="0.25">
      <c r="X1029" s="457" t="s">
        <v>539</v>
      </c>
      <c r="Y1029" s="452" t="s">
        <v>415</v>
      </c>
      <c r="Z1029" s="453" t="s">
        <v>5</v>
      </c>
      <c r="AA1029" s="453" t="s">
        <v>5</v>
      </c>
      <c r="AB1029" s="542" t="s">
        <v>244</v>
      </c>
      <c r="AC1029" s="482"/>
      <c r="AD1029" s="669">
        <f t="shared" ref="AD1029:AF1030" si="338">AD1030</f>
        <v>1612</v>
      </c>
      <c r="AE1029" s="633">
        <f t="shared" si="338"/>
        <v>1614</v>
      </c>
      <c r="AF1029" s="643">
        <f t="shared" si="338"/>
        <v>1616</v>
      </c>
    </row>
    <row r="1030" spans="24:33" s="3" customFormat="1" ht="31.5" x14ac:dyDescent="0.25">
      <c r="X1030" s="466" t="s">
        <v>540</v>
      </c>
      <c r="Y1030" s="452" t="s">
        <v>415</v>
      </c>
      <c r="Z1030" s="453" t="s">
        <v>5</v>
      </c>
      <c r="AA1030" s="453" t="s">
        <v>5</v>
      </c>
      <c r="AB1030" s="542" t="s">
        <v>245</v>
      </c>
      <c r="AC1030" s="482"/>
      <c r="AD1030" s="669">
        <f t="shared" si="338"/>
        <v>1612</v>
      </c>
      <c r="AE1030" s="633">
        <f t="shared" si="338"/>
        <v>1614</v>
      </c>
      <c r="AF1030" s="643">
        <f t="shared" si="338"/>
        <v>1616</v>
      </c>
    </row>
    <row r="1031" spans="24:33" s="3" customFormat="1" ht="31.5" x14ac:dyDescent="0.25">
      <c r="X1031" s="655" t="s">
        <v>328</v>
      </c>
      <c r="Y1031" s="452" t="s">
        <v>415</v>
      </c>
      <c r="Z1031" s="453" t="s">
        <v>5</v>
      </c>
      <c r="AA1031" s="453" t="s">
        <v>5</v>
      </c>
      <c r="AB1031" s="542" t="s">
        <v>542</v>
      </c>
      <c r="AC1031" s="454"/>
      <c r="AD1031" s="669">
        <f>AD1032+AD1034</f>
        <v>1612</v>
      </c>
      <c r="AE1031" s="633">
        <f>AE1032+AE1034</f>
        <v>1614</v>
      </c>
      <c r="AF1031" s="643">
        <f>AF1032+AF1034</f>
        <v>1616</v>
      </c>
    </row>
    <row r="1032" spans="24:33" s="3" customFormat="1" ht="47.25" x14ac:dyDescent="0.25">
      <c r="X1032" s="655" t="s">
        <v>41</v>
      </c>
      <c r="Y1032" s="452" t="s">
        <v>415</v>
      </c>
      <c r="Z1032" s="453" t="s">
        <v>5</v>
      </c>
      <c r="AA1032" s="453" t="s">
        <v>5</v>
      </c>
      <c r="AB1032" s="542" t="s">
        <v>542</v>
      </c>
      <c r="AC1032" s="454">
        <v>100</v>
      </c>
      <c r="AD1032" s="669">
        <f>AD1033</f>
        <v>1541</v>
      </c>
      <c r="AE1032" s="633">
        <f>AE1033</f>
        <v>1541</v>
      </c>
      <c r="AF1032" s="643">
        <f>AF1033</f>
        <v>1541</v>
      </c>
    </row>
    <row r="1033" spans="24:33" s="3" customFormat="1" x14ac:dyDescent="0.25">
      <c r="X1033" s="655" t="s">
        <v>96</v>
      </c>
      <c r="Y1033" s="452" t="s">
        <v>415</v>
      </c>
      <c r="Z1033" s="453" t="s">
        <v>5</v>
      </c>
      <c r="AA1033" s="453" t="s">
        <v>5</v>
      </c>
      <c r="AB1033" s="542" t="s">
        <v>542</v>
      </c>
      <c r="AC1033" s="454">
        <v>120</v>
      </c>
      <c r="AD1033" s="669">
        <v>1541</v>
      </c>
      <c r="AE1033" s="633">
        <v>1541</v>
      </c>
      <c r="AF1033" s="643">
        <v>1541</v>
      </c>
    </row>
    <row r="1034" spans="24:33" s="3" customFormat="1" x14ac:dyDescent="0.25">
      <c r="X1034" s="655" t="s">
        <v>120</v>
      </c>
      <c r="Y1034" s="452" t="s">
        <v>415</v>
      </c>
      <c r="Z1034" s="453" t="s">
        <v>5</v>
      </c>
      <c r="AA1034" s="453" t="s">
        <v>5</v>
      </c>
      <c r="AB1034" s="542" t="s">
        <v>542</v>
      </c>
      <c r="AC1034" s="454">
        <v>200</v>
      </c>
      <c r="AD1034" s="669">
        <f>AD1035</f>
        <v>71</v>
      </c>
      <c r="AE1034" s="633">
        <f>AE1035</f>
        <v>73</v>
      </c>
      <c r="AF1034" s="643">
        <f>AF1035</f>
        <v>75</v>
      </c>
    </row>
    <row r="1035" spans="24:33" s="3" customFormat="1" ht="31.5" x14ac:dyDescent="0.25">
      <c r="X1035" s="655" t="s">
        <v>52</v>
      </c>
      <c r="Y1035" s="452" t="s">
        <v>415</v>
      </c>
      <c r="Z1035" s="453" t="s">
        <v>5</v>
      </c>
      <c r="AA1035" s="453" t="s">
        <v>5</v>
      </c>
      <c r="AB1035" s="542" t="s">
        <v>542</v>
      </c>
      <c r="AC1035" s="454">
        <v>240</v>
      </c>
      <c r="AD1035" s="669">
        <v>71</v>
      </c>
      <c r="AE1035" s="633">
        <v>73</v>
      </c>
      <c r="AF1035" s="643">
        <v>75</v>
      </c>
    </row>
    <row r="1036" spans="24:33" s="3" customFormat="1" x14ac:dyDescent="0.25">
      <c r="X1036" s="457" t="s">
        <v>189</v>
      </c>
      <c r="Y1036" s="452" t="s">
        <v>415</v>
      </c>
      <c r="Z1036" s="453" t="s">
        <v>5</v>
      </c>
      <c r="AA1036" s="453" t="s">
        <v>5</v>
      </c>
      <c r="AB1036" s="542" t="s">
        <v>320</v>
      </c>
      <c r="AC1036" s="454"/>
      <c r="AD1036" s="669">
        <f t="shared" ref="AD1036:AF1037" si="339">AD1037</f>
        <v>29216.400000000001</v>
      </c>
      <c r="AE1036" s="633">
        <f t="shared" si="339"/>
        <v>28507.899999999998</v>
      </c>
      <c r="AF1036" s="643">
        <f t="shared" si="339"/>
        <v>28507.899999999998</v>
      </c>
    </row>
    <row r="1037" spans="24:33" s="3" customFormat="1" ht="31.5" x14ac:dyDescent="0.25">
      <c r="X1037" s="457" t="s">
        <v>191</v>
      </c>
      <c r="Y1037" s="452" t="s">
        <v>415</v>
      </c>
      <c r="Z1037" s="453" t="s">
        <v>5</v>
      </c>
      <c r="AA1037" s="453" t="s">
        <v>5</v>
      </c>
      <c r="AB1037" s="542" t="s">
        <v>322</v>
      </c>
      <c r="AC1037" s="482"/>
      <c r="AD1037" s="669">
        <f>AD1038</f>
        <v>29216.400000000001</v>
      </c>
      <c r="AE1037" s="633">
        <f t="shared" si="339"/>
        <v>28507.899999999998</v>
      </c>
      <c r="AF1037" s="643">
        <f t="shared" si="339"/>
        <v>28507.899999999998</v>
      </c>
    </row>
    <row r="1038" spans="24:33" s="3" customFormat="1" x14ac:dyDescent="0.25">
      <c r="X1038" s="466" t="s">
        <v>205</v>
      </c>
      <c r="Y1038" s="452" t="s">
        <v>415</v>
      </c>
      <c r="Z1038" s="453" t="s">
        <v>5</v>
      </c>
      <c r="AA1038" s="453" t="s">
        <v>5</v>
      </c>
      <c r="AB1038" s="542" t="s">
        <v>543</v>
      </c>
      <c r="AC1038" s="482"/>
      <c r="AD1038" s="669">
        <f>AD1039+AD1044+AD1047</f>
        <v>29216.400000000001</v>
      </c>
      <c r="AE1038" s="633">
        <f>AE1039+AE1044+AE1047</f>
        <v>28507.899999999998</v>
      </c>
      <c r="AF1038" s="643">
        <f>AF1039+AF1044+AF1047</f>
        <v>28507.899999999998</v>
      </c>
      <c r="AG1038" s="18"/>
    </row>
    <row r="1039" spans="24:33" s="3" customFormat="1" ht="31.5" x14ac:dyDescent="0.25">
      <c r="X1039" s="451" t="s">
        <v>206</v>
      </c>
      <c r="Y1039" s="452" t="s">
        <v>415</v>
      </c>
      <c r="Z1039" s="453" t="s">
        <v>5</v>
      </c>
      <c r="AA1039" s="453" t="s">
        <v>5</v>
      </c>
      <c r="AB1039" s="542" t="s">
        <v>544</v>
      </c>
      <c r="AC1039" s="454"/>
      <c r="AD1039" s="669">
        <f>AD1040+AD1042</f>
        <v>2285.8999999999996</v>
      </c>
      <c r="AE1039" s="669">
        <f t="shared" ref="AE1039:AF1039" si="340">AE1040+AE1042</f>
        <v>2325.6</v>
      </c>
      <c r="AF1039" s="669">
        <f t="shared" si="340"/>
        <v>2325.6</v>
      </c>
      <c r="AG1039" s="18"/>
    </row>
    <row r="1040" spans="24:33" s="3" customFormat="1" x14ac:dyDescent="0.25">
      <c r="X1040" s="451" t="s">
        <v>120</v>
      </c>
      <c r="Y1040" s="452" t="s">
        <v>415</v>
      </c>
      <c r="Z1040" s="453" t="s">
        <v>5</v>
      </c>
      <c r="AA1040" s="453" t="s">
        <v>5</v>
      </c>
      <c r="AB1040" s="542" t="s">
        <v>544</v>
      </c>
      <c r="AC1040" s="454">
        <v>200</v>
      </c>
      <c r="AD1040" s="669">
        <f>AD1041</f>
        <v>2285.7999999999997</v>
      </c>
      <c r="AE1040" s="633">
        <f>AE1041</f>
        <v>2325.6</v>
      </c>
      <c r="AF1040" s="643">
        <f>AF1041</f>
        <v>2325.6</v>
      </c>
      <c r="AG1040" s="18"/>
    </row>
    <row r="1041" spans="24:33" s="3" customFormat="1" ht="31.5" x14ac:dyDescent="0.25">
      <c r="X1041" s="451" t="s">
        <v>52</v>
      </c>
      <c r="Y1041" s="452" t="s">
        <v>415</v>
      </c>
      <c r="Z1041" s="453" t="s">
        <v>5</v>
      </c>
      <c r="AA1041" s="453" t="s">
        <v>5</v>
      </c>
      <c r="AB1041" s="542" t="s">
        <v>544</v>
      </c>
      <c r="AC1041" s="454">
        <v>240</v>
      </c>
      <c r="AD1041" s="669">
        <f>2325.6-39.8</f>
        <v>2285.7999999999997</v>
      </c>
      <c r="AE1041" s="633">
        <v>2325.6</v>
      </c>
      <c r="AF1041" s="643">
        <v>2325.6</v>
      </c>
      <c r="AG1041" s="18"/>
    </row>
    <row r="1042" spans="24:33" s="3" customFormat="1" x14ac:dyDescent="0.25">
      <c r="X1042" s="451" t="s">
        <v>42</v>
      </c>
      <c r="Y1042" s="452" t="s">
        <v>415</v>
      </c>
      <c r="Z1042" s="453" t="s">
        <v>5</v>
      </c>
      <c r="AA1042" s="453" t="s">
        <v>5</v>
      </c>
      <c r="AB1042" s="542" t="s">
        <v>544</v>
      </c>
      <c r="AC1042" s="454">
        <v>800</v>
      </c>
      <c r="AD1042" s="669">
        <f>AD1043</f>
        <v>0.1</v>
      </c>
      <c r="AE1042" s="669">
        <f t="shared" ref="AE1042:AF1042" si="341">AE1043</f>
        <v>0</v>
      </c>
      <c r="AF1042" s="669">
        <f t="shared" si="341"/>
        <v>0</v>
      </c>
      <c r="AG1042" s="18"/>
    </row>
    <row r="1043" spans="24:33" s="3" customFormat="1" x14ac:dyDescent="0.25">
      <c r="X1043" s="451" t="s">
        <v>57</v>
      </c>
      <c r="Y1043" s="452" t="s">
        <v>415</v>
      </c>
      <c r="Z1043" s="453" t="s">
        <v>5</v>
      </c>
      <c r="AA1043" s="453" t="s">
        <v>5</v>
      </c>
      <c r="AB1043" s="542" t="s">
        <v>544</v>
      </c>
      <c r="AC1043" s="454">
        <v>850</v>
      </c>
      <c r="AD1043" s="669">
        <v>0.1</v>
      </c>
      <c r="AE1043" s="633">
        <v>0</v>
      </c>
      <c r="AF1043" s="643">
        <v>0</v>
      </c>
      <c r="AG1043" s="18"/>
    </row>
    <row r="1044" spans="24:33" s="3" customFormat="1" ht="31.5" x14ac:dyDescent="0.25">
      <c r="X1044" s="451" t="s">
        <v>207</v>
      </c>
      <c r="Y1044" s="452" t="s">
        <v>415</v>
      </c>
      <c r="Z1044" s="453" t="s">
        <v>5</v>
      </c>
      <c r="AA1044" s="453" t="s">
        <v>5</v>
      </c>
      <c r="AB1044" s="542" t="s">
        <v>545</v>
      </c>
      <c r="AC1044" s="454"/>
      <c r="AD1044" s="669">
        <f t="shared" ref="AD1044:AF1045" si="342">AD1045</f>
        <v>17192.5</v>
      </c>
      <c r="AE1044" s="633">
        <f t="shared" si="342"/>
        <v>16444.3</v>
      </c>
      <c r="AF1044" s="643">
        <f t="shared" si="342"/>
        <v>16444.3</v>
      </c>
      <c r="AG1044" s="18"/>
    </row>
    <row r="1045" spans="24:33" s="3" customFormat="1" ht="47.25" x14ac:dyDescent="0.25">
      <c r="X1045" s="451" t="s">
        <v>41</v>
      </c>
      <c r="Y1045" s="452" t="s">
        <v>415</v>
      </c>
      <c r="Z1045" s="453" t="s">
        <v>5</v>
      </c>
      <c r="AA1045" s="453" t="s">
        <v>5</v>
      </c>
      <c r="AB1045" s="542" t="s">
        <v>545</v>
      </c>
      <c r="AC1045" s="454">
        <v>100</v>
      </c>
      <c r="AD1045" s="669">
        <f t="shared" si="342"/>
        <v>17192.5</v>
      </c>
      <c r="AE1045" s="633">
        <f t="shared" si="342"/>
        <v>16444.3</v>
      </c>
      <c r="AF1045" s="643">
        <f t="shared" si="342"/>
        <v>16444.3</v>
      </c>
      <c r="AG1045" s="18"/>
    </row>
    <row r="1046" spans="24:33" s="3" customFormat="1" x14ac:dyDescent="0.25">
      <c r="X1046" s="451" t="s">
        <v>96</v>
      </c>
      <c r="Y1046" s="452" t="s">
        <v>415</v>
      </c>
      <c r="Z1046" s="453" t="s">
        <v>5</v>
      </c>
      <c r="AA1046" s="453" t="s">
        <v>5</v>
      </c>
      <c r="AB1046" s="542" t="s">
        <v>545</v>
      </c>
      <c r="AC1046" s="454">
        <v>120</v>
      </c>
      <c r="AD1046" s="669">
        <f>16444.3-0.1+748.3</f>
        <v>17192.5</v>
      </c>
      <c r="AE1046" s="633">
        <v>16444.3</v>
      </c>
      <c r="AF1046" s="643">
        <v>16444.3</v>
      </c>
      <c r="AG1046" s="264"/>
    </row>
    <row r="1047" spans="24:33" s="3" customFormat="1" ht="31.5" x14ac:dyDescent="0.25">
      <c r="X1047" s="451" t="s">
        <v>208</v>
      </c>
      <c r="Y1047" s="452" t="s">
        <v>415</v>
      </c>
      <c r="Z1047" s="453" t="s">
        <v>5</v>
      </c>
      <c r="AA1047" s="453" t="s">
        <v>5</v>
      </c>
      <c r="AB1047" s="542" t="s">
        <v>546</v>
      </c>
      <c r="AC1047" s="454"/>
      <c r="AD1047" s="669">
        <f t="shared" ref="AD1047:AF1048" si="343">AD1048</f>
        <v>9738</v>
      </c>
      <c r="AE1047" s="633">
        <f t="shared" si="343"/>
        <v>9738</v>
      </c>
      <c r="AF1047" s="643">
        <f t="shared" si="343"/>
        <v>9738</v>
      </c>
      <c r="AG1047" s="18"/>
    </row>
    <row r="1048" spans="24:33" s="3" customFormat="1" ht="47.25" x14ac:dyDescent="0.25">
      <c r="X1048" s="451" t="s">
        <v>41</v>
      </c>
      <c r="Y1048" s="452" t="s">
        <v>415</v>
      </c>
      <c r="Z1048" s="453" t="s">
        <v>5</v>
      </c>
      <c r="AA1048" s="453" t="s">
        <v>5</v>
      </c>
      <c r="AB1048" s="542" t="s">
        <v>546</v>
      </c>
      <c r="AC1048" s="454">
        <v>100</v>
      </c>
      <c r="AD1048" s="669">
        <f t="shared" si="343"/>
        <v>9738</v>
      </c>
      <c r="AE1048" s="633">
        <f t="shared" si="343"/>
        <v>9738</v>
      </c>
      <c r="AF1048" s="643">
        <f t="shared" si="343"/>
        <v>9738</v>
      </c>
      <c r="AG1048" s="18"/>
    </row>
    <row r="1049" spans="24:33" s="3" customFormat="1" x14ac:dyDescent="0.25">
      <c r="X1049" s="451" t="s">
        <v>96</v>
      </c>
      <c r="Y1049" s="452" t="s">
        <v>415</v>
      </c>
      <c r="Z1049" s="453" t="s">
        <v>5</v>
      </c>
      <c r="AA1049" s="453" t="s">
        <v>5</v>
      </c>
      <c r="AB1049" s="542" t="s">
        <v>546</v>
      </c>
      <c r="AC1049" s="454">
        <v>120</v>
      </c>
      <c r="AD1049" s="669">
        <v>9738</v>
      </c>
      <c r="AE1049" s="633">
        <v>9738</v>
      </c>
      <c r="AF1049" s="643">
        <v>9738</v>
      </c>
      <c r="AG1049" s="18"/>
    </row>
    <row r="1050" spans="24:33" s="3" customFormat="1" x14ac:dyDescent="0.25">
      <c r="X1050" s="650" t="s">
        <v>39</v>
      </c>
      <c r="Y1050" s="448" t="s">
        <v>415</v>
      </c>
      <c r="Z1050" s="471" t="s">
        <v>95</v>
      </c>
      <c r="AA1050" s="453"/>
      <c r="AB1050" s="541"/>
      <c r="AC1050" s="454"/>
      <c r="AD1050" s="668">
        <f>AD1051</f>
        <v>824970</v>
      </c>
      <c r="AE1050" s="632">
        <f>AE1051</f>
        <v>0</v>
      </c>
      <c r="AF1050" s="642">
        <f>AF1051</f>
        <v>0</v>
      </c>
      <c r="AG1050" s="18"/>
    </row>
    <row r="1051" spans="24:33" s="3" customFormat="1" x14ac:dyDescent="0.25">
      <c r="X1051" s="451" t="s">
        <v>92</v>
      </c>
      <c r="Y1051" s="452" t="s">
        <v>415</v>
      </c>
      <c r="Z1051" s="474" t="s">
        <v>95</v>
      </c>
      <c r="AA1051" s="453" t="s">
        <v>30</v>
      </c>
      <c r="AB1051" s="541"/>
      <c r="AC1051" s="454"/>
      <c r="AD1051" s="669">
        <f t="shared" ref="AD1051:AF1059" si="344">AD1052</f>
        <v>824970</v>
      </c>
      <c r="AE1051" s="633">
        <f t="shared" si="344"/>
        <v>0</v>
      </c>
      <c r="AF1051" s="643">
        <f t="shared" si="344"/>
        <v>0</v>
      </c>
      <c r="AG1051" s="18"/>
    </row>
    <row r="1052" spans="24:33" s="3" customFormat="1" ht="31.5" x14ac:dyDescent="0.25">
      <c r="X1052" s="459" t="s">
        <v>596</v>
      </c>
      <c r="Y1052" s="452" t="s">
        <v>415</v>
      </c>
      <c r="Z1052" s="474" t="s">
        <v>95</v>
      </c>
      <c r="AA1052" s="453" t="s">
        <v>30</v>
      </c>
      <c r="AB1052" s="542" t="s">
        <v>111</v>
      </c>
      <c r="AC1052" s="454"/>
      <c r="AD1052" s="669">
        <f>AD1053</f>
        <v>824970</v>
      </c>
      <c r="AE1052" s="633">
        <f>AE1053+AE960</f>
        <v>0</v>
      </c>
      <c r="AF1052" s="643">
        <f>AF1053+AF960</f>
        <v>0</v>
      </c>
      <c r="AG1052" s="18"/>
    </row>
    <row r="1053" spans="24:33" s="3" customFormat="1" x14ac:dyDescent="0.25">
      <c r="X1053" s="459" t="s">
        <v>588</v>
      </c>
      <c r="Y1053" s="452" t="s">
        <v>415</v>
      </c>
      <c r="Z1053" s="474" t="s">
        <v>95</v>
      </c>
      <c r="AA1053" s="453" t="s">
        <v>30</v>
      </c>
      <c r="AB1053" s="542" t="s">
        <v>589</v>
      </c>
      <c r="AC1053" s="454"/>
      <c r="AD1053" s="669">
        <f>AD1054</f>
        <v>824970</v>
      </c>
      <c r="AE1053" s="633">
        <f>AE1058</f>
        <v>0</v>
      </c>
      <c r="AF1053" s="643">
        <f>AF1058</f>
        <v>0</v>
      </c>
      <c r="AG1053" s="18"/>
    </row>
    <row r="1054" spans="24:33" s="3" customFormat="1" ht="46.5" customHeight="1" x14ac:dyDescent="0.25">
      <c r="X1054" s="459" t="s">
        <v>757</v>
      </c>
      <c r="Y1054" s="452" t="s">
        <v>415</v>
      </c>
      <c r="Z1054" s="474" t="s">
        <v>95</v>
      </c>
      <c r="AA1054" s="453" t="s">
        <v>30</v>
      </c>
      <c r="AB1054" s="542" t="s">
        <v>758</v>
      </c>
      <c r="AC1054" s="454"/>
      <c r="AD1054" s="669">
        <f>AD1058+AD1055</f>
        <v>824970</v>
      </c>
      <c r="AE1054" s="633">
        <f t="shared" ref="AE1054:AF1054" si="345">AE1058+AE1055</f>
        <v>0</v>
      </c>
      <c r="AF1054" s="643">
        <f t="shared" si="345"/>
        <v>0</v>
      </c>
      <c r="AG1054" s="18"/>
    </row>
    <row r="1055" spans="24:33" s="3" customFormat="1" ht="29.25" customHeight="1" x14ac:dyDescent="0.25">
      <c r="X1055" s="459" t="s">
        <v>755</v>
      </c>
      <c r="Y1055" s="452" t="s">
        <v>415</v>
      </c>
      <c r="Z1055" s="474" t="s">
        <v>95</v>
      </c>
      <c r="AA1055" s="453" t="s">
        <v>30</v>
      </c>
      <c r="AB1055" s="542" t="s">
        <v>756</v>
      </c>
      <c r="AC1055" s="454"/>
      <c r="AD1055" s="669">
        <f>AD1056</f>
        <v>10</v>
      </c>
      <c r="AE1055" s="633">
        <f t="shared" ref="AE1055:AF1056" si="346">AE1056</f>
        <v>0</v>
      </c>
      <c r="AF1055" s="643">
        <f t="shared" si="346"/>
        <v>0</v>
      </c>
      <c r="AG1055" s="18"/>
    </row>
    <row r="1056" spans="24:33" s="3" customFormat="1" x14ac:dyDescent="0.25">
      <c r="X1056" s="451" t="s">
        <v>120</v>
      </c>
      <c r="Y1056" s="452" t="s">
        <v>415</v>
      </c>
      <c r="Z1056" s="474" t="s">
        <v>95</v>
      </c>
      <c r="AA1056" s="453" t="s">
        <v>30</v>
      </c>
      <c r="AB1056" s="542" t="s">
        <v>756</v>
      </c>
      <c r="AC1056" s="454">
        <v>200</v>
      </c>
      <c r="AD1056" s="669">
        <f>AD1057</f>
        <v>10</v>
      </c>
      <c r="AE1056" s="633">
        <f t="shared" si="346"/>
        <v>0</v>
      </c>
      <c r="AF1056" s="643">
        <f t="shared" si="346"/>
        <v>0</v>
      </c>
      <c r="AG1056" s="18"/>
    </row>
    <row r="1057" spans="24:33" s="3" customFormat="1" ht="31.5" x14ac:dyDescent="0.25">
      <c r="X1057" s="451" t="s">
        <v>52</v>
      </c>
      <c r="Y1057" s="452" t="s">
        <v>415</v>
      </c>
      <c r="Z1057" s="474" t="s">
        <v>95</v>
      </c>
      <c r="AA1057" s="453" t="s">
        <v>30</v>
      </c>
      <c r="AB1057" s="542" t="s">
        <v>756</v>
      </c>
      <c r="AC1057" s="454">
        <v>240</v>
      </c>
      <c r="AD1057" s="669">
        <v>10</v>
      </c>
      <c r="AE1057" s="633">
        <v>0</v>
      </c>
      <c r="AF1057" s="643">
        <v>0</v>
      </c>
      <c r="AG1057" s="18"/>
    </row>
    <row r="1058" spans="24:33" s="3" customFormat="1" ht="53.25" customHeight="1" x14ac:dyDescent="0.25">
      <c r="X1058" s="659" t="s">
        <v>775</v>
      </c>
      <c r="Y1058" s="452" t="s">
        <v>415</v>
      </c>
      <c r="Z1058" s="474" t="s">
        <v>95</v>
      </c>
      <c r="AA1058" s="453" t="s">
        <v>30</v>
      </c>
      <c r="AB1058" s="542" t="s">
        <v>776</v>
      </c>
      <c r="AC1058" s="473"/>
      <c r="AD1058" s="669">
        <f>AD1059</f>
        <v>824960</v>
      </c>
      <c r="AE1058" s="633">
        <f t="shared" ref="AE1058:AF1058" si="347">AE1059</f>
        <v>0</v>
      </c>
      <c r="AF1058" s="643">
        <f t="shared" si="347"/>
        <v>0</v>
      </c>
      <c r="AG1058" s="18"/>
    </row>
    <row r="1059" spans="24:33" s="3" customFormat="1" x14ac:dyDescent="0.25">
      <c r="X1059" s="665" t="s">
        <v>153</v>
      </c>
      <c r="Y1059" s="452" t="s">
        <v>415</v>
      </c>
      <c r="Z1059" s="474" t="s">
        <v>95</v>
      </c>
      <c r="AA1059" s="453" t="s">
        <v>30</v>
      </c>
      <c r="AB1059" s="542" t="s">
        <v>776</v>
      </c>
      <c r="AC1059" s="473" t="s">
        <v>154</v>
      </c>
      <c r="AD1059" s="669">
        <f t="shared" si="344"/>
        <v>824960</v>
      </c>
      <c r="AE1059" s="633">
        <f t="shared" si="344"/>
        <v>0</v>
      </c>
      <c r="AF1059" s="643">
        <f t="shared" si="344"/>
        <v>0</v>
      </c>
    </row>
    <row r="1060" spans="24:33" s="3" customFormat="1" x14ac:dyDescent="0.25">
      <c r="X1060" s="451" t="s">
        <v>9</v>
      </c>
      <c r="Y1060" s="452" t="s">
        <v>415</v>
      </c>
      <c r="Z1060" s="474" t="s">
        <v>95</v>
      </c>
      <c r="AA1060" s="453" t="s">
        <v>30</v>
      </c>
      <c r="AB1060" s="542" t="s">
        <v>776</v>
      </c>
      <c r="AC1060" s="473" t="s">
        <v>155</v>
      </c>
      <c r="AD1060" s="669">
        <f>816710.4+8249.6</f>
        <v>824960</v>
      </c>
      <c r="AE1060" s="633">
        <v>0</v>
      </c>
      <c r="AF1060" s="643">
        <v>0</v>
      </c>
    </row>
    <row r="1061" spans="24:33" s="3" customFormat="1" x14ac:dyDescent="0.25">
      <c r="X1061" s="650" t="s">
        <v>94</v>
      </c>
      <c r="Y1061" s="448" t="s">
        <v>415</v>
      </c>
      <c r="Z1061" s="471" t="s">
        <v>36</v>
      </c>
      <c r="AA1061" s="471"/>
      <c r="AB1061" s="539"/>
      <c r="AC1061" s="450"/>
      <c r="AD1061" s="668">
        <f>AD1062+AD1076+AD1069</f>
        <v>17310.8</v>
      </c>
      <c r="AE1061" s="632">
        <f t="shared" ref="AE1061:AF1061" si="348">AE1062+AE1076+AE1069</f>
        <v>33751.9</v>
      </c>
      <c r="AF1061" s="642">
        <f t="shared" si="348"/>
        <v>31152</v>
      </c>
    </row>
    <row r="1062" spans="24:33" s="3" customFormat="1" x14ac:dyDescent="0.25">
      <c r="X1062" s="451" t="s">
        <v>55</v>
      </c>
      <c r="Y1062" s="452" t="s">
        <v>415</v>
      </c>
      <c r="Z1062" s="453">
        <v>10</v>
      </c>
      <c r="AA1062" s="453" t="s">
        <v>29</v>
      </c>
      <c r="AB1062" s="541"/>
      <c r="AC1062" s="450"/>
      <c r="AD1062" s="669">
        <f t="shared" ref="AD1062:AF1067" si="349">AD1063</f>
        <v>1031.5</v>
      </c>
      <c r="AE1062" s="633">
        <f t="shared" si="349"/>
        <v>1031.5</v>
      </c>
      <c r="AF1062" s="643">
        <f t="shared" si="349"/>
        <v>1031.5</v>
      </c>
    </row>
    <row r="1063" spans="24:33" s="3" customFormat="1" x14ac:dyDescent="0.25">
      <c r="X1063" s="457" t="s">
        <v>292</v>
      </c>
      <c r="Y1063" s="452" t="s">
        <v>415</v>
      </c>
      <c r="Z1063" s="453">
        <v>10</v>
      </c>
      <c r="AA1063" s="453" t="s">
        <v>29</v>
      </c>
      <c r="AB1063" s="542" t="s">
        <v>109</v>
      </c>
      <c r="AC1063" s="450"/>
      <c r="AD1063" s="669">
        <f t="shared" si="349"/>
        <v>1031.5</v>
      </c>
      <c r="AE1063" s="633">
        <f t="shared" si="349"/>
        <v>1031.5</v>
      </c>
      <c r="AF1063" s="643">
        <f t="shared" si="349"/>
        <v>1031.5</v>
      </c>
    </row>
    <row r="1064" spans="24:33" s="3" customFormat="1" x14ac:dyDescent="0.25">
      <c r="X1064" s="457" t="s">
        <v>293</v>
      </c>
      <c r="Y1064" s="452" t="s">
        <v>415</v>
      </c>
      <c r="Z1064" s="453">
        <v>10</v>
      </c>
      <c r="AA1064" s="453" t="s">
        <v>29</v>
      </c>
      <c r="AB1064" s="542" t="s">
        <v>118</v>
      </c>
      <c r="AC1064" s="450"/>
      <c r="AD1064" s="669">
        <f t="shared" si="349"/>
        <v>1031.5</v>
      </c>
      <c r="AE1064" s="633">
        <f t="shared" si="349"/>
        <v>1031.5</v>
      </c>
      <c r="AF1064" s="643">
        <f t="shared" si="349"/>
        <v>1031.5</v>
      </c>
    </row>
    <row r="1065" spans="24:33" s="3" customFormat="1" ht="31.5" x14ac:dyDescent="0.25">
      <c r="X1065" s="457" t="s">
        <v>294</v>
      </c>
      <c r="Y1065" s="452" t="s">
        <v>415</v>
      </c>
      <c r="Z1065" s="453">
        <v>10</v>
      </c>
      <c r="AA1065" s="453" t="s">
        <v>29</v>
      </c>
      <c r="AB1065" s="542" t="s">
        <v>464</v>
      </c>
      <c r="AC1065" s="450"/>
      <c r="AD1065" s="669">
        <f t="shared" si="349"/>
        <v>1031.5</v>
      </c>
      <c r="AE1065" s="633">
        <f t="shared" si="349"/>
        <v>1031.5</v>
      </c>
      <c r="AF1065" s="643">
        <f t="shared" si="349"/>
        <v>1031.5</v>
      </c>
    </row>
    <row r="1066" spans="24:33" s="3" customFormat="1" ht="31.5" x14ac:dyDescent="0.25">
      <c r="X1066" s="466" t="s">
        <v>295</v>
      </c>
      <c r="Y1066" s="452" t="s">
        <v>415</v>
      </c>
      <c r="Z1066" s="453">
        <v>10</v>
      </c>
      <c r="AA1066" s="453" t="s">
        <v>29</v>
      </c>
      <c r="AB1066" s="542" t="s">
        <v>463</v>
      </c>
      <c r="AC1066" s="450"/>
      <c r="AD1066" s="669">
        <f t="shared" si="349"/>
        <v>1031.5</v>
      </c>
      <c r="AE1066" s="633">
        <f t="shared" si="349"/>
        <v>1031.5</v>
      </c>
      <c r="AF1066" s="643">
        <f t="shared" si="349"/>
        <v>1031.5</v>
      </c>
    </row>
    <row r="1067" spans="24:33" s="3" customFormat="1" x14ac:dyDescent="0.25">
      <c r="X1067" s="451" t="s">
        <v>97</v>
      </c>
      <c r="Y1067" s="452" t="s">
        <v>415</v>
      </c>
      <c r="Z1067" s="453">
        <v>10</v>
      </c>
      <c r="AA1067" s="453" t="s">
        <v>29</v>
      </c>
      <c r="AB1067" s="542" t="s">
        <v>463</v>
      </c>
      <c r="AC1067" s="454">
        <v>300</v>
      </c>
      <c r="AD1067" s="669">
        <f t="shared" si="349"/>
        <v>1031.5</v>
      </c>
      <c r="AE1067" s="633">
        <f t="shared" si="349"/>
        <v>1031.5</v>
      </c>
      <c r="AF1067" s="643">
        <f t="shared" si="349"/>
        <v>1031.5</v>
      </c>
    </row>
    <row r="1068" spans="24:33" s="3" customFormat="1" x14ac:dyDescent="0.25">
      <c r="X1068" s="451" t="s">
        <v>40</v>
      </c>
      <c r="Y1068" s="452" t="s">
        <v>415</v>
      </c>
      <c r="Z1068" s="453">
        <v>10</v>
      </c>
      <c r="AA1068" s="453" t="s">
        <v>29</v>
      </c>
      <c r="AB1068" s="542" t="s">
        <v>463</v>
      </c>
      <c r="AC1068" s="454">
        <v>320</v>
      </c>
      <c r="AD1068" s="669">
        <v>1031.5</v>
      </c>
      <c r="AE1068" s="633">
        <v>1031.5</v>
      </c>
      <c r="AF1068" s="643">
        <v>1031.5</v>
      </c>
    </row>
    <row r="1069" spans="24:33" s="3" customFormat="1" x14ac:dyDescent="0.25">
      <c r="X1069" s="451" t="s">
        <v>58</v>
      </c>
      <c r="Y1069" s="452" t="s">
        <v>415</v>
      </c>
      <c r="Z1069" s="453">
        <v>10</v>
      </c>
      <c r="AA1069" s="453" t="s">
        <v>7</v>
      </c>
      <c r="AB1069" s="542"/>
      <c r="AC1069" s="454"/>
      <c r="AD1069" s="669">
        <f t="shared" ref="AD1069:AD1074" si="350">AD1070</f>
        <v>0</v>
      </c>
      <c r="AE1069" s="633">
        <f t="shared" ref="AE1069:AF1071" si="351">AE1070</f>
        <v>2990</v>
      </c>
      <c r="AF1069" s="643">
        <f t="shared" si="351"/>
        <v>0</v>
      </c>
    </row>
    <row r="1070" spans="24:33" s="3" customFormat="1" x14ac:dyDescent="0.25">
      <c r="X1070" s="457" t="s">
        <v>181</v>
      </c>
      <c r="Y1070" s="452" t="s">
        <v>415</v>
      </c>
      <c r="Z1070" s="453">
        <v>10</v>
      </c>
      <c r="AA1070" s="453" t="s">
        <v>7</v>
      </c>
      <c r="AB1070" s="542" t="s">
        <v>116</v>
      </c>
      <c r="AC1070" s="454"/>
      <c r="AD1070" s="669">
        <f t="shared" si="350"/>
        <v>0</v>
      </c>
      <c r="AE1070" s="633">
        <f t="shared" si="351"/>
        <v>2990</v>
      </c>
      <c r="AF1070" s="643">
        <f t="shared" si="351"/>
        <v>0</v>
      </c>
    </row>
    <row r="1071" spans="24:33" s="3" customFormat="1" ht="31.5" x14ac:dyDescent="0.25">
      <c r="X1071" s="451" t="s">
        <v>670</v>
      </c>
      <c r="Y1071" s="452" t="s">
        <v>415</v>
      </c>
      <c r="Z1071" s="453">
        <v>10</v>
      </c>
      <c r="AA1071" s="453" t="s">
        <v>7</v>
      </c>
      <c r="AB1071" s="542" t="s">
        <v>671</v>
      </c>
      <c r="AC1071" s="454"/>
      <c r="AD1071" s="669">
        <f t="shared" si="350"/>
        <v>0</v>
      </c>
      <c r="AE1071" s="633">
        <f t="shared" si="351"/>
        <v>2990</v>
      </c>
      <c r="AF1071" s="643">
        <f t="shared" si="351"/>
        <v>0</v>
      </c>
    </row>
    <row r="1072" spans="24:33" s="3" customFormat="1" ht="47.25" x14ac:dyDescent="0.25">
      <c r="X1072" s="451" t="s">
        <v>673</v>
      </c>
      <c r="Y1072" s="452" t="s">
        <v>415</v>
      </c>
      <c r="Z1072" s="453">
        <v>10</v>
      </c>
      <c r="AA1072" s="453" t="s">
        <v>7</v>
      </c>
      <c r="AB1072" s="542" t="s">
        <v>672</v>
      </c>
      <c r="AC1072" s="454"/>
      <c r="AD1072" s="669">
        <f t="shared" si="350"/>
        <v>0</v>
      </c>
      <c r="AE1072" s="633">
        <f t="shared" ref="AE1072:AF1072" si="352">AE1073</f>
        <v>2990</v>
      </c>
      <c r="AF1072" s="643">
        <f t="shared" si="352"/>
        <v>0</v>
      </c>
    </row>
    <row r="1073" spans="1:35" ht="47.25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51" t="s">
        <v>675</v>
      </c>
      <c r="Y1073" s="452" t="s">
        <v>415</v>
      </c>
      <c r="Z1073" s="453">
        <v>10</v>
      </c>
      <c r="AA1073" s="453" t="s">
        <v>7</v>
      </c>
      <c r="AB1073" s="542" t="s">
        <v>674</v>
      </c>
      <c r="AC1073" s="454"/>
      <c r="AD1073" s="669">
        <f t="shared" si="350"/>
        <v>0</v>
      </c>
      <c r="AE1073" s="633">
        <f t="shared" ref="AE1073:AF1073" si="353">AE1074</f>
        <v>2990</v>
      </c>
      <c r="AF1073" s="643">
        <f t="shared" si="353"/>
        <v>0</v>
      </c>
      <c r="AG1073" s="3"/>
      <c r="AH1073" s="3"/>
    </row>
    <row r="1074" spans="1:3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51" t="s">
        <v>97</v>
      </c>
      <c r="Y1074" s="452" t="s">
        <v>415</v>
      </c>
      <c r="Z1074" s="453">
        <v>10</v>
      </c>
      <c r="AA1074" s="453" t="s">
        <v>7</v>
      </c>
      <c r="AB1074" s="542" t="s">
        <v>674</v>
      </c>
      <c r="AC1074" s="454">
        <v>300</v>
      </c>
      <c r="AD1074" s="669">
        <f t="shared" si="350"/>
        <v>0</v>
      </c>
      <c r="AE1074" s="633">
        <f t="shared" ref="AE1074:AF1074" si="354">AE1075</f>
        <v>2990</v>
      </c>
      <c r="AF1074" s="643">
        <f t="shared" si="354"/>
        <v>0</v>
      </c>
      <c r="AG1074" s="3"/>
      <c r="AH1074" s="3"/>
    </row>
    <row r="1075" spans="1:35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51" t="s">
        <v>40</v>
      </c>
      <c r="Y1075" s="452" t="s">
        <v>415</v>
      </c>
      <c r="Z1075" s="453">
        <v>10</v>
      </c>
      <c r="AA1075" s="453" t="s">
        <v>7</v>
      </c>
      <c r="AB1075" s="542" t="s">
        <v>674</v>
      </c>
      <c r="AC1075" s="454">
        <v>320</v>
      </c>
      <c r="AD1075" s="669">
        <v>0</v>
      </c>
      <c r="AE1075" s="633">
        <v>2990</v>
      </c>
      <c r="AF1075" s="643">
        <v>0</v>
      </c>
      <c r="AG1075" s="3"/>
      <c r="AH1075" s="3"/>
    </row>
    <row r="1076" spans="1:35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51" t="s">
        <v>31</v>
      </c>
      <c r="Y1076" s="452" t="s">
        <v>415</v>
      </c>
      <c r="Z1076" s="453">
        <v>10</v>
      </c>
      <c r="AA1076" s="453" t="s">
        <v>49</v>
      </c>
      <c r="AB1076" s="541"/>
      <c r="AC1076" s="454"/>
      <c r="AD1076" s="669">
        <f t="shared" ref="AD1076:AF1078" si="355">AD1077</f>
        <v>16279.3</v>
      </c>
      <c r="AE1076" s="633">
        <f t="shared" si="355"/>
        <v>29730.400000000001</v>
      </c>
      <c r="AF1076" s="643">
        <f t="shared" si="355"/>
        <v>30120.5</v>
      </c>
      <c r="AG1076" s="3"/>
      <c r="AH1076" s="3"/>
    </row>
    <row r="1077" spans="1:35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57" t="s">
        <v>181</v>
      </c>
      <c r="Y1077" s="452" t="s">
        <v>415</v>
      </c>
      <c r="Z1077" s="453">
        <v>10</v>
      </c>
      <c r="AA1077" s="453" t="s">
        <v>49</v>
      </c>
      <c r="AB1077" s="542" t="s">
        <v>116</v>
      </c>
      <c r="AC1077" s="454"/>
      <c r="AD1077" s="669">
        <f t="shared" si="355"/>
        <v>16279.3</v>
      </c>
      <c r="AE1077" s="633">
        <f t="shared" si="355"/>
        <v>29730.400000000001</v>
      </c>
      <c r="AF1077" s="643">
        <f t="shared" si="355"/>
        <v>30120.5</v>
      </c>
      <c r="AG1077" s="3"/>
      <c r="AH1077" s="3"/>
    </row>
    <row r="1078" spans="1:35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57" t="s">
        <v>180</v>
      </c>
      <c r="Y1078" s="452" t="s">
        <v>415</v>
      </c>
      <c r="Z1078" s="453">
        <v>10</v>
      </c>
      <c r="AA1078" s="453" t="s">
        <v>49</v>
      </c>
      <c r="AB1078" s="542" t="s">
        <v>143</v>
      </c>
      <c r="AC1078" s="454"/>
      <c r="AD1078" s="669">
        <f t="shared" si="355"/>
        <v>16279.3</v>
      </c>
      <c r="AE1078" s="633">
        <f t="shared" si="355"/>
        <v>29730.400000000001</v>
      </c>
      <c r="AF1078" s="643">
        <f t="shared" si="355"/>
        <v>30120.5</v>
      </c>
      <c r="AG1078" s="3"/>
      <c r="AH1078" s="3"/>
    </row>
    <row r="1079" spans="1:35" ht="47.2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457" t="s">
        <v>424</v>
      </c>
      <c r="Y1079" s="452" t="s">
        <v>415</v>
      </c>
      <c r="Z1079" s="453">
        <v>10</v>
      </c>
      <c r="AA1079" s="453" t="s">
        <v>49</v>
      </c>
      <c r="AB1079" s="542" t="s">
        <v>142</v>
      </c>
      <c r="AC1079" s="454"/>
      <c r="AD1079" s="669">
        <f>AD1083+AD1080</f>
        <v>16279.3</v>
      </c>
      <c r="AE1079" s="633">
        <f>AE1083</f>
        <v>29730.400000000001</v>
      </c>
      <c r="AF1079" s="643">
        <f>AF1083</f>
        <v>30120.5</v>
      </c>
      <c r="AG1079" s="3"/>
      <c r="AH1079" s="3"/>
    </row>
    <row r="1080" spans="1:35" ht="31.5" customHeight="1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457" t="s">
        <v>831</v>
      </c>
      <c r="Y1080" s="452" t="s">
        <v>415</v>
      </c>
      <c r="Z1080" s="453">
        <v>10</v>
      </c>
      <c r="AA1080" s="453" t="s">
        <v>49</v>
      </c>
      <c r="AB1080" s="542" t="s">
        <v>832</v>
      </c>
      <c r="AC1080" s="454"/>
      <c r="AD1080" s="669">
        <f>AD1081</f>
        <v>561.29999999999995</v>
      </c>
      <c r="AE1080" s="669">
        <f t="shared" ref="AE1080:AF1081" si="356">AE1081</f>
        <v>0</v>
      </c>
      <c r="AF1080" s="669">
        <f t="shared" si="356"/>
        <v>0</v>
      </c>
      <c r="AG1080" s="3"/>
      <c r="AH1080" s="3"/>
    </row>
    <row r="1081" spans="1:35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451" t="s">
        <v>97</v>
      </c>
      <c r="Y1081" s="452" t="s">
        <v>415</v>
      </c>
      <c r="Z1081" s="453">
        <v>10</v>
      </c>
      <c r="AA1081" s="453" t="s">
        <v>49</v>
      </c>
      <c r="AB1081" s="542" t="s">
        <v>832</v>
      </c>
      <c r="AC1081" s="454">
        <v>300</v>
      </c>
      <c r="AD1081" s="669">
        <f>AD1082</f>
        <v>561.29999999999995</v>
      </c>
      <c r="AE1081" s="669">
        <f t="shared" si="356"/>
        <v>0</v>
      </c>
      <c r="AF1081" s="669">
        <f t="shared" si="356"/>
        <v>0</v>
      </c>
      <c r="AG1081" s="3"/>
      <c r="AH1081" s="3"/>
    </row>
    <row r="1082" spans="1:35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51" t="s">
        <v>24</v>
      </c>
      <c r="Y1082" s="452" t="s">
        <v>415</v>
      </c>
      <c r="Z1082" s="453">
        <v>10</v>
      </c>
      <c r="AA1082" s="453" t="s">
        <v>49</v>
      </c>
      <c r="AB1082" s="542" t="s">
        <v>832</v>
      </c>
      <c r="AC1082" s="454">
        <v>320</v>
      </c>
      <c r="AD1082" s="669">
        <v>561.29999999999995</v>
      </c>
      <c r="AE1082" s="633">
        <v>0</v>
      </c>
      <c r="AF1082" s="643">
        <v>0</v>
      </c>
      <c r="AG1082" s="3"/>
      <c r="AH1082" s="3"/>
    </row>
    <row r="1083" spans="1:35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457" t="s">
        <v>178</v>
      </c>
      <c r="Y1083" s="452" t="s">
        <v>415</v>
      </c>
      <c r="Z1083" s="453">
        <v>10</v>
      </c>
      <c r="AA1083" s="453" t="s">
        <v>49</v>
      </c>
      <c r="AB1083" s="542" t="s">
        <v>179</v>
      </c>
      <c r="AC1083" s="454"/>
      <c r="AD1083" s="669">
        <f t="shared" ref="AD1083:AF1084" si="357">AD1084</f>
        <v>15718</v>
      </c>
      <c r="AE1083" s="633">
        <f t="shared" si="357"/>
        <v>29730.400000000001</v>
      </c>
      <c r="AF1083" s="643">
        <f t="shared" si="357"/>
        <v>30120.5</v>
      </c>
      <c r="AG1083" s="3"/>
      <c r="AH1083" s="3"/>
    </row>
    <row r="1084" spans="1:35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51" t="s">
        <v>97</v>
      </c>
      <c r="Y1084" s="452" t="s">
        <v>415</v>
      </c>
      <c r="Z1084" s="453">
        <v>10</v>
      </c>
      <c r="AA1084" s="453" t="s">
        <v>49</v>
      </c>
      <c r="AB1084" s="542" t="s">
        <v>179</v>
      </c>
      <c r="AC1084" s="454">
        <v>300</v>
      </c>
      <c r="AD1084" s="669">
        <f t="shared" si="357"/>
        <v>15718</v>
      </c>
      <c r="AE1084" s="633">
        <f t="shared" si="357"/>
        <v>29730.400000000001</v>
      </c>
      <c r="AF1084" s="643">
        <f t="shared" si="357"/>
        <v>30120.5</v>
      </c>
      <c r="AG1084" s="3"/>
      <c r="AH1084" s="3"/>
    </row>
    <row r="1085" spans="1:35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51" t="s">
        <v>24</v>
      </c>
      <c r="Y1085" s="452" t="s">
        <v>415</v>
      </c>
      <c r="Z1085" s="453">
        <v>10</v>
      </c>
      <c r="AA1085" s="453" t="s">
        <v>49</v>
      </c>
      <c r="AB1085" s="542" t="s">
        <v>179</v>
      </c>
      <c r="AC1085" s="454">
        <v>320</v>
      </c>
      <c r="AD1085" s="669">
        <f>8688+7030</f>
        <v>15718</v>
      </c>
      <c r="AE1085" s="633">
        <f>16426.2+13304.2</f>
        <v>29730.400000000001</v>
      </c>
      <c r="AF1085" s="646">
        <f>16695+13425.5</f>
        <v>30120.5</v>
      </c>
      <c r="AG1085" s="3"/>
      <c r="AH1085" s="3"/>
    </row>
    <row r="1086" spans="1:35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650" t="s">
        <v>13</v>
      </c>
      <c r="Y1086" s="448" t="s">
        <v>415</v>
      </c>
      <c r="Z1086" s="480">
        <v>11</v>
      </c>
      <c r="AA1086" s="471"/>
      <c r="AB1086" s="539"/>
      <c r="AC1086" s="454"/>
      <c r="AD1086" s="669">
        <f>AD1087</f>
        <v>5405</v>
      </c>
      <c r="AE1086" s="633">
        <f t="shared" ref="AE1086:AF1087" si="358">AE1087</f>
        <v>0</v>
      </c>
      <c r="AF1086" s="643">
        <f t="shared" si="358"/>
        <v>0</v>
      </c>
      <c r="AG1086" s="3"/>
      <c r="AH1086" s="3"/>
    </row>
    <row r="1087" spans="1:3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51" t="s">
        <v>35</v>
      </c>
      <c r="Y1087" s="467" t="s">
        <v>415</v>
      </c>
      <c r="Z1087" s="453">
        <v>11</v>
      </c>
      <c r="AA1087" s="453" t="s">
        <v>30</v>
      </c>
      <c r="AB1087" s="542"/>
      <c r="AC1087" s="454"/>
      <c r="AD1087" s="669">
        <f>AD1088</f>
        <v>5405</v>
      </c>
      <c r="AE1087" s="633">
        <f t="shared" si="358"/>
        <v>0</v>
      </c>
      <c r="AF1087" s="643">
        <f t="shared" si="358"/>
        <v>0</v>
      </c>
      <c r="AG1087" s="3"/>
      <c r="AH1087" s="3"/>
    </row>
    <row r="1088" spans="1:35" s="96" customFormat="1" x14ac:dyDescent="0.25">
      <c r="A1088" s="68"/>
      <c r="B1088" s="69"/>
      <c r="C1088" s="69"/>
      <c r="D1088" s="71"/>
      <c r="E1088" s="72"/>
      <c r="F1088" s="72"/>
      <c r="G1088" s="492"/>
      <c r="H1088" s="492"/>
      <c r="I1088" s="492"/>
      <c r="J1088" s="492"/>
      <c r="K1088" s="492"/>
      <c r="L1088" s="492"/>
      <c r="M1088" s="492"/>
      <c r="N1088" s="492"/>
      <c r="O1088" s="74"/>
      <c r="P1088" s="492"/>
      <c r="Q1088" s="75"/>
      <c r="R1088" s="95"/>
      <c r="S1088" s="95"/>
      <c r="T1088" s="95"/>
      <c r="U1088" s="95"/>
      <c r="V1088" s="95"/>
      <c r="W1088" s="95"/>
      <c r="X1088" s="459" t="s">
        <v>157</v>
      </c>
      <c r="Y1088" s="452" t="s">
        <v>415</v>
      </c>
      <c r="Z1088" s="453">
        <v>11</v>
      </c>
      <c r="AA1088" s="453" t="s">
        <v>30</v>
      </c>
      <c r="AB1088" s="542" t="s">
        <v>115</v>
      </c>
      <c r="AC1088" s="570"/>
      <c r="AD1088" s="669">
        <f t="shared" ref="AD1088:AF1090" si="359">AD1089</f>
        <v>5405</v>
      </c>
      <c r="AE1088" s="633">
        <f t="shared" si="359"/>
        <v>0</v>
      </c>
      <c r="AF1088" s="643">
        <f t="shared" si="359"/>
        <v>0</v>
      </c>
      <c r="AG1088" s="506"/>
      <c r="AH1088" s="506"/>
      <c r="AI1088" s="502"/>
    </row>
    <row r="1089" spans="1:35" s="96" customFormat="1" x14ac:dyDescent="0.25">
      <c r="A1089" s="68"/>
      <c r="B1089" s="69"/>
      <c r="C1089" s="69"/>
      <c r="D1089" s="71"/>
      <c r="E1089" s="72"/>
      <c r="F1089" s="72"/>
      <c r="G1089" s="492"/>
      <c r="H1089" s="492"/>
      <c r="I1089" s="492"/>
      <c r="J1089" s="492"/>
      <c r="K1089" s="492"/>
      <c r="L1089" s="492"/>
      <c r="M1089" s="492"/>
      <c r="N1089" s="492"/>
      <c r="O1089" s="74"/>
      <c r="P1089" s="492"/>
      <c r="Q1089" s="75"/>
      <c r="R1089" s="95"/>
      <c r="S1089" s="95"/>
      <c r="T1089" s="95"/>
      <c r="U1089" s="95"/>
      <c r="V1089" s="95"/>
      <c r="W1089" s="95"/>
      <c r="X1089" s="459" t="s">
        <v>158</v>
      </c>
      <c r="Y1089" s="452" t="s">
        <v>415</v>
      </c>
      <c r="Z1089" s="453">
        <v>11</v>
      </c>
      <c r="AA1089" s="453" t="s">
        <v>30</v>
      </c>
      <c r="AB1089" s="542" t="s">
        <v>119</v>
      </c>
      <c r="AC1089" s="570"/>
      <c r="AD1089" s="669">
        <f t="shared" si="359"/>
        <v>5405</v>
      </c>
      <c r="AE1089" s="633">
        <f t="shared" si="359"/>
        <v>0</v>
      </c>
      <c r="AF1089" s="643">
        <f t="shared" si="359"/>
        <v>0</v>
      </c>
      <c r="AG1089" s="506"/>
      <c r="AH1089" s="506"/>
      <c r="AI1089" s="502"/>
    </row>
    <row r="1090" spans="1:35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51" t="s">
        <v>685</v>
      </c>
      <c r="Y1090" s="452" t="s">
        <v>415</v>
      </c>
      <c r="Z1090" s="453">
        <v>11</v>
      </c>
      <c r="AA1090" s="453" t="s">
        <v>30</v>
      </c>
      <c r="AB1090" s="542" t="s">
        <v>686</v>
      </c>
      <c r="AC1090" s="454"/>
      <c r="AD1090" s="669">
        <f>AD1091</f>
        <v>5405</v>
      </c>
      <c r="AE1090" s="633">
        <f t="shared" si="359"/>
        <v>0</v>
      </c>
      <c r="AF1090" s="643">
        <f t="shared" si="359"/>
        <v>0</v>
      </c>
      <c r="AG1090" s="3"/>
      <c r="AH1090" s="3"/>
    </row>
    <row r="1091" spans="1:35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51" t="s">
        <v>687</v>
      </c>
      <c r="Y1091" s="452" t="s">
        <v>415</v>
      </c>
      <c r="Z1091" s="453">
        <v>11</v>
      </c>
      <c r="AA1091" s="453" t="s">
        <v>30</v>
      </c>
      <c r="AB1091" s="542" t="s">
        <v>688</v>
      </c>
      <c r="AC1091" s="454"/>
      <c r="AD1091" s="669">
        <f>AD1092</f>
        <v>5405</v>
      </c>
      <c r="AE1091" s="633">
        <f t="shared" ref="AE1091:AF1091" si="360">AE1092</f>
        <v>0</v>
      </c>
      <c r="AF1091" s="643">
        <f t="shared" si="360"/>
        <v>0</v>
      </c>
      <c r="AG1091" s="3"/>
      <c r="AH1091" s="3"/>
    </row>
    <row r="1092" spans="1:35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51" t="s">
        <v>120</v>
      </c>
      <c r="Y1092" s="452" t="s">
        <v>415</v>
      </c>
      <c r="Z1092" s="453">
        <v>11</v>
      </c>
      <c r="AA1092" s="453" t="s">
        <v>30</v>
      </c>
      <c r="AB1092" s="542" t="s">
        <v>688</v>
      </c>
      <c r="AC1092" s="454">
        <v>200</v>
      </c>
      <c r="AD1092" s="669">
        <f>AD1093</f>
        <v>5405</v>
      </c>
      <c r="AE1092" s="633">
        <f t="shared" ref="AE1092:AF1092" si="361">AE1093</f>
        <v>0</v>
      </c>
      <c r="AF1092" s="643">
        <f t="shared" si="361"/>
        <v>0</v>
      </c>
      <c r="AG1092" s="3"/>
      <c r="AH1092" s="3"/>
    </row>
    <row r="1093" spans="1:35" ht="24.75" customHeight="1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51" t="s">
        <v>52</v>
      </c>
      <c r="Y1093" s="452" t="s">
        <v>415</v>
      </c>
      <c r="Z1093" s="453">
        <v>11</v>
      </c>
      <c r="AA1093" s="453" t="s">
        <v>30</v>
      </c>
      <c r="AB1093" s="542" t="s">
        <v>688</v>
      </c>
      <c r="AC1093" s="454">
        <v>240</v>
      </c>
      <c r="AD1093" s="669">
        <v>5405</v>
      </c>
      <c r="AE1093" s="633">
        <v>0</v>
      </c>
      <c r="AF1093" s="646">
        <v>0</v>
      </c>
      <c r="AG1093" s="3"/>
      <c r="AH1093" s="3"/>
    </row>
    <row r="1094" spans="1:35" ht="18.75" x14ac:dyDescent="0.3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650" t="s">
        <v>417</v>
      </c>
      <c r="Y1094" s="448">
        <v>904</v>
      </c>
      <c r="Z1094" s="481"/>
      <c r="AA1094" s="477"/>
      <c r="AB1094" s="541"/>
      <c r="AC1094" s="573"/>
      <c r="AD1094" s="668">
        <f>AD1095+AD1117</f>
        <v>11879.400000000001</v>
      </c>
      <c r="AE1094" s="632">
        <f>AE1095+AE1117</f>
        <v>11471.400000000001</v>
      </c>
      <c r="AF1094" s="642">
        <f>AF1095+AF1117</f>
        <v>11476.400000000001</v>
      </c>
      <c r="AG1094" s="3"/>
      <c r="AH1094" s="3"/>
    </row>
    <row r="1095" spans="1:35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650" t="s">
        <v>25</v>
      </c>
      <c r="Y1095" s="448">
        <v>904</v>
      </c>
      <c r="Z1095" s="449" t="s">
        <v>29</v>
      </c>
      <c r="AA1095" s="540"/>
      <c r="AB1095" s="539"/>
      <c r="AC1095" s="476"/>
      <c r="AD1095" s="668">
        <f t="shared" ref="AD1095:AF1103" si="362">AD1096</f>
        <v>11246.400000000001</v>
      </c>
      <c r="AE1095" s="632">
        <f t="shared" si="362"/>
        <v>10838.400000000001</v>
      </c>
      <c r="AF1095" s="642">
        <f t="shared" si="362"/>
        <v>10843.400000000001</v>
      </c>
      <c r="AG1095" s="3"/>
      <c r="AH1095" s="3"/>
    </row>
    <row r="1096" spans="1:35" ht="31.5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51" t="s">
        <v>410</v>
      </c>
      <c r="Y1096" s="452">
        <v>904</v>
      </c>
      <c r="Z1096" s="453" t="s">
        <v>29</v>
      </c>
      <c r="AA1096" s="453" t="s">
        <v>95</v>
      </c>
      <c r="AB1096" s="539"/>
      <c r="AC1096" s="476"/>
      <c r="AD1096" s="669">
        <f>AD1097+AD1103</f>
        <v>11246.400000000001</v>
      </c>
      <c r="AE1096" s="633">
        <f t="shared" ref="AE1096:AF1096" si="363">AE1097+AE1103</f>
        <v>10838.400000000001</v>
      </c>
      <c r="AF1096" s="643">
        <f t="shared" si="363"/>
        <v>10843.400000000001</v>
      </c>
      <c r="AG1096" s="3"/>
      <c r="AH1096" s="3"/>
    </row>
    <row r="1097" spans="1:35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255" t="s">
        <v>186</v>
      </c>
      <c r="Y1097" s="452">
        <v>904</v>
      </c>
      <c r="Z1097" s="453" t="s">
        <v>29</v>
      </c>
      <c r="AA1097" s="453" t="s">
        <v>95</v>
      </c>
      <c r="AB1097" s="542" t="s">
        <v>112</v>
      </c>
      <c r="AC1097" s="476"/>
      <c r="AD1097" s="669">
        <f>AD1098</f>
        <v>96</v>
      </c>
      <c r="AE1097" s="633">
        <f t="shared" ref="AE1097:AF1097" si="364">AE1098</f>
        <v>75</v>
      </c>
      <c r="AF1097" s="643">
        <f t="shared" si="364"/>
        <v>80</v>
      </c>
      <c r="AG1097" s="3"/>
      <c r="AH1097" s="3"/>
    </row>
    <row r="1098" spans="1:35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255" t="s">
        <v>189</v>
      </c>
      <c r="Y1098" s="452">
        <v>904</v>
      </c>
      <c r="Z1098" s="453" t="s">
        <v>29</v>
      </c>
      <c r="AA1098" s="453" t="s">
        <v>95</v>
      </c>
      <c r="AB1098" s="542" t="s">
        <v>190</v>
      </c>
      <c r="AC1098" s="476"/>
      <c r="AD1098" s="669">
        <f>AD1099</f>
        <v>96</v>
      </c>
      <c r="AE1098" s="633">
        <f t="shared" ref="AE1098:AF1098" si="365">AE1099</f>
        <v>75</v>
      </c>
      <c r="AF1098" s="643">
        <f t="shared" si="365"/>
        <v>80</v>
      </c>
      <c r="AG1098" s="3"/>
      <c r="AH1098" s="3"/>
    </row>
    <row r="1099" spans="1:35" ht="31.5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51" t="s">
        <v>533</v>
      </c>
      <c r="Y1099" s="452">
        <v>904</v>
      </c>
      <c r="Z1099" s="453" t="s">
        <v>29</v>
      </c>
      <c r="AA1099" s="453" t="s">
        <v>95</v>
      </c>
      <c r="AB1099" s="542" t="s">
        <v>534</v>
      </c>
      <c r="AC1099" s="454"/>
      <c r="AD1099" s="669">
        <f>AD1100</f>
        <v>96</v>
      </c>
      <c r="AE1099" s="633">
        <f t="shared" ref="AE1099:AF1099" si="366">AE1100</f>
        <v>75</v>
      </c>
      <c r="AF1099" s="643">
        <f t="shared" si="366"/>
        <v>80</v>
      </c>
      <c r="AG1099" s="3"/>
      <c r="AH1099" s="3"/>
    </row>
    <row r="1100" spans="1:35" ht="78.75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51" t="s">
        <v>405</v>
      </c>
      <c r="Y1100" s="452">
        <v>904</v>
      </c>
      <c r="Z1100" s="453" t="s">
        <v>29</v>
      </c>
      <c r="AA1100" s="453" t="s">
        <v>95</v>
      </c>
      <c r="AB1100" s="542" t="s">
        <v>535</v>
      </c>
      <c r="AC1100" s="454"/>
      <c r="AD1100" s="669">
        <f>AD1101</f>
        <v>96</v>
      </c>
      <c r="AE1100" s="633">
        <f t="shared" ref="AE1100:AF1100" si="367">AE1101</f>
        <v>75</v>
      </c>
      <c r="AF1100" s="643">
        <f t="shared" si="367"/>
        <v>80</v>
      </c>
      <c r="AG1100" s="3"/>
      <c r="AH1100" s="3"/>
    </row>
    <row r="1101" spans="1:35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51" t="s">
        <v>120</v>
      </c>
      <c r="Y1101" s="452">
        <v>904</v>
      </c>
      <c r="Z1101" s="453" t="s">
        <v>29</v>
      </c>
      <c r="AA1101" s="453" t="s">
        <v>95</v>
      </c>
      <c r="AB1101" s="542" t="s">
        <v>535</v>
      </c>
      <c r="AC1101" s="454">
        <v>200</v>
      </c>
      <c r="AD1101" s="669">
        <f>AD1102</f>
        <v>96</v>
      </c>
      <c r="AE1101" s="633">
        <f t="shared" ref="AE1101:AF1101" si="368">AE1102</f>
        <v>75</v>
      </c>
      <c r="AF1101" s="643">
        <f t="shared" si="368"/>
        <v>80</v>
      </c>
      <c r="AG1101" s="3"/>
      <c r="AH1101" s="3"/>
    </row>
    <row r="1102" spans="1:35" ht="19.5" customHeight="1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51" t="s">
        <v>52</v>
      </c>
      <c r="Y1102" s="452">
        <v>904</v>
      </c>
      <c r="Z1102" s="453" t="s">
        <v>29</v>
      </c>
      <c r="AA1102" s="453" t="s">
        <v>95</v>
      </c>
      <c r="AB1102" s="542" t="s">
        <v>535</v>
      </c>
      <c r="AC1102" s="454">
        <v>240</v>
      </c>
      <c r="AD1102" s="669">
        <f>70+26</f>
        <v>96</v>
      </c>
      <c r="AE1102" s="633">
        <v>75</v>
      </c>
      <c r="AF1102" s="643">
        <v>80</v>
      </c>
      <c r="AG1102" s="3"/>
      <c r="AH1102" s="3"/>
    </row>
    <row r="1103" spans="1:35" ht="17.25" customHeight="1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57" t="s">
        <v>274</v>
      </c>
      <c r="Y1103" s="452">
        <v>904</v>
      </c>
      <c r="Z1103" s="453" t="s">
        <v>29</v>
      </c>
      <c r="AA1103" s="453" t="s">
        <v>95</v>
      </c>
      <c r="AB1103" s="542" t="s">
        <v>99</v>
      </c>
      <c r="AC1103" s="454"/>
      <c r="AD1103" s="669">
        <f t="shared" si="362"/>
        <v>11150.400000000001</v>
      </c>
      <c r="AE1103" s="633">
        <f t="shared" si="362"/>
        <v>10763.400000000001</v>
      </c>
      <c r="AF1103" s="643">
        <f t="shared" si="362"/>
        <v>10763.400000000001</v>
      </c>
      <c r="AG1103" s="3"/>
      <c r="AH1103" s="3"/>
    </row>
    <row r="1104" spans="1:35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65" t="s">
        <v>272</v>
      </c>
      <c r="Y1104" s="452">
        <v>904</v>
      </c>
      <c r="Z1104" s="453" t="s">
        <v>29</v>
      </c>
      <c r="AA1104" s="453" t="s">
        <v>95</v>
      </c>
      <c r="AB1104" s="542" t="s">
        <v>273</v>
      </c>
      <c r="AC1104" s="454"/>
      <c r="AD1104" s="669">
        <f>AD1105+AD1111+AD1108+AD1114</f>
        <v>11150.400000000001</v>
      </c>
      <c r="AE1104" s="633">
        <f>AE1105+AE1111+AE1108+AE1114</f>
        <v>10763.400000000001</v>
      </c>
      <c r="AF1104" s="643">
        <f>AF1105+AF1111+AF1108+AF1114</f>
        <v>10763.400000000001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51" t="s">
        <v>275</v>
      </c>
      <c r="Y1105" s="452">
        <v>904</v>
      </c>
      <c r="Z1105" s="453" t="s">
        <v>29</v>
      </c>
      <c r="AA1105" s="453" t="s">
        <v>95</v>
      </c>
      <c r="AB1105" s="542" t="s">
        <v>276</v>
      </c>
      <c r="AC1105" s="454"/>
      <c r="AD1105" s="669">
        <f t="shared" ref="AD1105:AF1106" si="369">AD1106</f>
        <v>1322.2</v>
      </c>
      <c r="AE1105" s="633">
        <f t="shared" si="369"/>
        <v>1348.2</v>
      </c>
      <c r="AF1105" s="643">
        <f t="shared" si="369"/>
        <v>1348.2</v>
      </c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51" t="s">
        <v>120</v>
      </c>
      <c r="Y1106" s="452">
        <v>904</v>
      </c>
      <c r="Z1106" s="453" t="s">
        <v>29</v>
      </c>
      <c r="AA1106" s="453" t="s">
        <v>95</v>
      </c>
      <c r="AB1106" s="542" t="s">
        <v>276</v>
      </c>
      <c r="AC1106" s="454">
        <v>200</v>
      </c>
      <c r="AD1106" s="669">
        <f t="shared" si="369"/>
        <v>1322.2</v>
      </c>
      <c r="AE1106" s="633">
        <f t="shared" si="369"/>
        <v>1348.2</v>
      </c>
      <c r="AF1106" s="643">
        <f t="shared" si="369"/>
        <v>1348.2</v>
      </c>
      <c r="AH1106" s="3"/>
    </row>
    <row r="1107" spans="1:35" ht="21" customHeight="1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51" t="s">
        <v>52</v>
      </c>
      <c r="Y1107" s="452">
        <v>904</v>
      </c>
      <c r="Z1107" s="453" t="s">
        <v>29</v>
      </c>
      <c r="AA1107" s="453" t="s">
        <v>95</v>
      </c>
      <c r="AB1107" s="542" t="s">
        <v>276</v>
      </c>
      <c r="AC1107" s="454">
        <v>240</v>
      </c>
      <c r="AD1107" s="669">
        <f>1348.2-26</f>
        <v>1322.2</v>
      </c>
      <c r="AE1107" s="633">
        <v>1348.2</v>
      </c>
      <c r="AF1107" s="643">
        <v>1348.2</v>
      </c>
      <c r="AH1107" s="3"/>
    </row>
    <row r="1108" spans="1:35" ht="31.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451" t="s">
        <v>277</v>
      </c>
      <c r="Y1108" s="452">
        <v>904</v>
      </c>
      <c r="Z1108" s="453" t="s">
        <v>29</v>
      </c>
      <c r="AA1108" s="453" t="s">
        <v>95</v>
      </c>
      <c r="AB1108" s="542" t="s">
        <v>278</v>
      </c>
      <c r="AC1108" s="454"/>
      <c r="AD1108" s="669">
        <f t="shared" ref="AD1108:AF1109" si="370">AD1109</f>
        <v>2423.4</v>
      </c>
      <c r="AE1108" s="633">
        <f t="shared" si="370"/>
        <v>2423.4</v>
      </c>
      <c r="AF1108" s="643">
        <f t="shared" si="370"/>
        <v>2423.4</v>
      </c>
      <c r="AH1108" s="3"/>
    </row>
    <row r="1109" spans="1:35" ht="47.2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451" t="s">
        <v>41</v>
      </c>
      <c r="Y1109" s="452">
        <v>904</v>
      </c>
      <c r="Z1109" s="453" t="s">
        <v>29</v>
      </c>
      <c r="AA1109" s="453" t="s">
        <v>95</v>
      </c>
      <c r="AB1109" s="542" t="s">
        <v>278</v>
      </c>
      <c r="AC1109" s="454">
        <v>100</v>
      </c>
      <c r="AD1109" s="669">
        <f t="shared" si="370"/>
        <v>2423.4</v>
      </c>
      <c r="AE1109" s="633">
        <f t="shared" si="370"/>
        <v>2423.4</v>
      </c>
      <c r="AF1109" s="643">
        <f t="shared" si="370"/>
        <v>2423.4</v>
      </c>
      <c r="AH1109" s="3"/>
    </row>
    <row r="1110" spans="1:35" x14ac:dyDescent="0.25">
      <c r="A1110" s="3"/>
      <c r="B1110" s="3"/>
      <c r="C1110" s="3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R1110" s="3"/>
      <c r="S1110" s="3"/>
      <c r="W1110" s="3"/>
      <c r="X1110" s="451" t="s">
        <v>96</v>
      </c>
      <c r="Y1110" s="452">
        <v>904</v>
      </c>
      <c r="Z1110" s="453" t="s">
        <v>29</v>
      </c>
      <c r="AA1110" s="453" t="s">
        <v>95</v>
      </c>
      <c r="AB1110" s="542" t="s">
        <v>278</v>
      </c>
      <c r="AC1110" s="454">
        <v>120</v>
      </c>
      <c r="AD1110" s="669">
        <f>2423.4</f>
        <v>2423.4</v>
      </c>
      <c r="AE1110" s="633">
        <v>2423.4</v>
      </c>
      <c r="AF1110" s="643">
        <v>2423.4</v>
      </c>
      <c r="AH1110" s="3"/>
    </row>
    <row r="1111" spans="1:35" ht="31.5" x14ac:dyDescent="0.25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R1111" s="3"/>
      <c r="S1111" s="3"/>
      <c r="W1111" s="3"/>
      <c r="X1111" s="451" t="s">
        <v>280</v>
      </c>
      <c r="Y1111" s="452">
        <v>904</v>
      </c>
      <c r="Z1111" s="453" t="s">
        <v>29</v>
      </c>
      <c r="AA1111" s="453" t="s">
        <v>95</v>
      </c>
      <c r="AB1111" s="542" t="s">
        <v>279</v>
      </c>
      <c r="AC1111" s="454"/>
      <c r="AD1111" s="669">
        <f t="shared" ref="AD1111:AF1112" si="371">AD1112</f>
        <v>4460</v>
      </c>
      <c r="AE1111" s="633">
        <f t="shared" si="371"/>
        <v>4460</v>
      </c>
      <c r="AF1111" s="643">
        <f t="shared" si="371"/>
        <v>4460</v>
      </c>
      <c r="AH1111" s="3"/>
    </row>
    <row r="1112" spans="1:35" ht="47.2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51" t="s">
        <v>41</v>
      </c>
      <c r="Y1112" s="452">
        <v>904</v>
      </c>
      <c r="Z1112" s="453" t="s">
        <v>29</v>
      </c>
      <c r="AA1112" s="453" t="s">
        <v>95</v>
      </c>
      <c r="AB1112" s="542" t="s">
        <v>279</v>
      </c>
      <c r="AC1112" s="454">
        <v>100</v>
      </c>
      <c r="AD1112" s="669">
        <f t="shared" si="371"/>
        <v>4460</v>
      </c>
      <c r="AE1112" s="633">
        <f t="shared" si="371"/>
        <v>4460</v>
      </c>
      <c r="AF1112" s="643">
        <f t="shared" si="371"/>
        <v>4460</v>
      </c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51" t="s">
        <v>96</v>
      </c>
      <c r="Y1113" s="452">
        <v>904</v>
      </c>
      <c r="Z1113" s="453" t="s">
        <v>29</v>
      </c>
      <c r="AA1113" s="453" t="s">
        <v>95</v>
      </c>
      <c r="AB1113" s="542" t="s">
        <v>279</v>
      </c>
      <c r="AC1113" s="454">
        <v>120</v>
      </c>
      <c r="AD1113" s="669">
        <f>4460</f>
        <v>4460</v>
      </c>
      <c r="AE1113" s="633">
        <v>4460</v>
      </c>
      <c r="AF1113" s="643">
        <v>4460</v>
      </c>
      <c r="AG1113" s="263"/>
      <c r="AH1113" s="3"/>
    </row>
    <row r="1114" spans="1:35" ht="31.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451" t="s">
        <v>418</v>
      </c>
      <c r="Y1114" s="452">
        <v>904</v>
      </c>
      <c r="Z1114" s="453" t="s">
        <v>29</v>
      </c>
      <c r="AA1114" s="453" t="s">
        <v>95</v>
      </c>
      <c r="AB1114" s="542" t="s">
        <v>403</v>
      </c>
      <c r="AC1114" s="454"/>
      <c r="AD1114" s="669">
        <f t="shared" ref="AD1114:AF1115" si="372">AD1115</f>
        <v>2944.8</v>
      </c>
      <c r="AE1114" s="633">
        <f t="shared" si="372"/>
        <v>2531.8000000000002</v>
      </c>
      <c r="AF1114" s="643">
        <f t="shared" si="372"/>
        <v>2531.8000000000002</v>
      </c>
      <c r="AH1114" s="3"/>
    </row>
    <row r="1115" spans="1:35" ht="47.25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451" t="s">
        <v>41</v>
      </c>
      <c r="Y1115" s="452">
        <v>904</v>
      </c>
      <c r="Z1115" s="453" t="s">
        <v>29</v>
      </c>
      <c r="AA1115" s="453" t="s">
        <v>95</v>
      </c>
      <c r="AB1115" s="542" t="s">
        <v>403</v>
      </c>
      <c r="AC1115" s="454">
        <v>100</v>
      </c>
      <c r="AD1115" s="669">
        <f t="shared" si="372"/>
        <v>2944.8</v>
      </c>
      <c r="AE1115" s="633">
        <f t="shared" si="372"/>
        <v>2531.8000000000002</v>
      </c>
      <c r="AF1115" s="643">
        <f t="shared" si="372"/>
        <v>2531.8000000000002</v>
      </c>
      <c r="AH1115" s="3"/>
    </row>
    <row r="1116" spans="1:35" x14ac:dyDescent="0.2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451" t="s">
        <v>96</v>
      </c>
      <c r="Y1116" s="452">
        <v>904</v>
      </c>
      <c r="Z1116" s="453" t="s">
        <v>29</v>
      </c>
      <c r="AA1116" s="453" t="s">
        <v>95</v>
      </c>
      <c r="AB1116" s="542" t="s">
        <v>403</v>
      </c>
      <c r="AC1116" s="454">
        <v>120</v>
      </c>
      <c r="AD1116" s="669">
        <f>2531.8+413</f>
        <v>2944.8</v>
      </c>
      <c r="AE1116" s="633">
        <v>2531.8000000000002</v>
      </c>
      <c r="AF1116" s="643">
        <v>2531.8000000000002</v>
      </c>
      <c r="AH1116" s="3"/>
      <c r="AI1116" s="694" t="s">
        <v>788</v>
      </c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650" t="s">
        <v>94</v>
      </c>
      <c r="Y1117" s="448" t="s">
        <v>66</v>
      </c>
      <c r="Z1117" s="471" t="s">
        <v>36</v>
      </c>
      <c r="AA1117" s="540"/>
      <c r="AB1117" s="539"/>
      <c r="AC1117" s="476"/>
      <c r="AD1117" s="668">
        <f t="shared" ref="AD1117:AF1123" si="373">AD1118</f>
        <v>633</v>
      </c>
      <c r="AE1117" s="632">
        <f t="shared" si="373"/>
        <v>633</v>
      </c>
      <c r="AF1117" s="642">
        <f t="shared" si="373"/>
        <v>633</v>
      </c>
      <c r="AH1117" s="3"/>
    </row>
    <row r="1118" spans="1:3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451" t="s">
        <v>55</v>
      </c>
      <c r="Y1118" s="452">
        <v>904</v>
      </c>
      <c r="Z1118" s="453">
        <v>10</v>
      </c>
      <c r="AA1118" s="453" t="s">
        <v>29</v>
      </c>
      <c r="AB1118" s="541"/>
      <c r="AC1118" s="450"/>
      <c r="AD1118" s="669">
        <f t="shared" si="373"/>
        <v>633</v>
      </c>
      <c r="AE1118" s="633">
        <f t="shared" si="373"/>
        <v>633</v>
      </c>
      <c r="AF1118" s="643">
        <f t="shared" si="373"/>
        <v>633</v>
      </c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457" t="s">
        <v>292</v>
      </c>
      <c r="Y1119" s="452">
        <v>904</v>
      </c>
      <c r="Z1119" s="453">
        <v>10</v>
      </c>
      <c r="AA1119" s="453" t="s">
        <v>29</v>
      </c>
      <c r="AB1119" s="542" t="s">
        <v>109</v>
      </c>
      <c r="AC1119" s="450"/>
      <c r="AD1119" s="669">
        <f t="shared" si="373"/>
        <v>633</v>
      </c>
      <c r="AE1119" s="633">
        <f t="shared" si="373"/>
        <v>633</v>
      </c>
      <c r="AF1119" s="643">
        <f t="shared" si="373"/>
        <v>633</v>
      </c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457" t="s">
        <v>293</v>
      </c>
      <c r="Y1120" s="452">
        <v>904</v>
      </c>
      <c r="Z1120" s="453">
        <v>10</v>
      </c>
      <c r="AA1120" s="453" t="s">
        <v>29</v>
      </c>
      <c r="AB1120" s="542" t="s">
        <v>118</v>
      </c>
      <c r="AC1120" s="450"/>
      <c r="AD1120" s="669">
        <f>AD1121</f>
        <v>633</v>
      </c>
      <c r="AE1120" s="633">
        <f>AE1121</f>
        <v>633</v>
      </c>
      <c r="AF1120" s="643">
        <f>AF1121</f>
        <v>633</v>
      </c>
      <c r="AH1120" s="3"/>
    </row>
    <row r="1121" spans="1:34" ht="31.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57" t="s">
        <v>294</v>
      </c>
      <c r="Y1121" s="452">
        <v>904</v>
      </c>
      <c r="Z1121" s="453">
        <v>10</v>
      </c>
      <c r="AA1121" s="453" t="s">
        <v>29</v>
      </c>
      <c r="AB1121" s="542" t="s">
        <v>464</v>
      </c>
      <c r="AC1121" s="450"/>
      <c r="AD1121" s="669">
        <f t="shared" si="373"/>
        <v>633</v>
      </c>
      <c r="AE1121" s="633">
        <f t="shared" si="373"/>
        <v>633</v>
      </c>
      <c r="AF1121" s="643">
        <f t="shared" si="373"/>
        <v>633</v>
      </c>
      <c r="AG1121" s="3"/>
      <c r="AH1121" s="3"/>
    </row>
    <row r="1122" spans="1:34" ht="31.5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66" t="s">
        <v>295</v>
      </c>
      <c r="Y1122" s="452">
        <v>904</v>
      </c>
      <c r="Z1122" s="453">
        <v>10</v>
      </c>
      <c r="AA1122" s="453" t="s">
        <v>29</v>
      </c>
      <c r="AB1122" s="542" t="s">
        <v>463</v>
      </c>
      <c r="AC1122" s="450"/>
      <c r="AD1122" s="669">
        <f t="shared" si="373"/>
        <v>633</v>
      </c>
      <c r="AE1122" s="633">
        <f t="shared" si="373"/>
        <v>633</v>
      </c>
      <c r="AF1122" s="643">
        <f t="shared" si="373"/>
        <v>633</v>
      </c>
      <c r="AG1122" s="3"/>
      <c r="AH1122" s="3"/>
    </row>
    <row r="1123" spans="1:34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51" t="s">
        <v>97</v>
      </c>
      <c r="Y1123" s="452">
        <v>904</v>
      </c>
      <c r="Z1123" s="453">
        <v>10</v>
      </c>
      <c r="AA1123" s="453" t="s">
        <v>29</v>
      </c>
      <c r="AB1123" s="542" t="s">
        <v>463</v>
      </c>
      <c r="AC1123" s="454">
        <v>300</v>
      </c>
      <c r="AD1123" s="669">
        <f t="shared" si="373"/>
        <v>633</v>
      </c>
      <c r="AE1123" s="633">
        <f t="shared" si="373"/>
        <v>633</v>
      </c>
      <c r="AF1123" s="643">
        <f t="shared" si="373"/>
        <v>633</v>
      </c>
      <c r="AG1123" s="3"/>
      <c r="AH1123" s="3"/>
    </row>
    <row r="1124" spans="1:34" ht="17.25" thickBot="1" x14ac:dyDescent="0.3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681" t="s">
        <v>40</v>
      </c>
      <c r="Y1124" s="682">
        <v>904</v>
      </c>
      <c r="Z1124" s="683">
        <v>10</v>
      </c>
      <c r="AA1124" s="683" t="s">
        <v>29</v>
      </c>
      <c r="AB1124" s="684" t="s">
        <v>463</v>
      </c>
      <c r="AC1124" s="685">
        <v>320</v>
      </c>
      <c r="AD1124" s="686">
        <v>633</v>
      </c>
      <c r="AE1124" s="687">
        <v>633</v>
      </c>
      <c r="AF1124" s="688">
        <v>633</v>
      </c>
      <c r="AG1124" s="3"/>
      <c r="AH1124" s="3"/>
    </row>
    <row r="1125" spans="1:34" ht="17.25" thickBot="1" x14ac:dyDescent="0.3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710" t="s">
        <v>56</v>
      </c>
      <c r="Y1125" s="712"/>
      <c r="Z1125" s="711"/>
      <c r="AA1125" s="689"/>
      <c r="AB1125" s="690"/>
      <c r="AC1125" s="691"/>
      <c r="AD1125" s="692">
        <f>AD1094+AD857+AD664+AD609+AD575+AD541+AD12</f>
        <v>5439029.4000000004</v>
      </c>
      <c r="AE1125" s="693">
        <f>AE1094+AE857+AE664+AE609+AE575+AE541+AE12</f>
        <v>3355666.3000000003</v>
      </c>
      <c r="AF1125" s="691">
        <f>AF1094+AF857+AF664+AF609+AF575+AF541+AF12</f>
        <v>3189048.2</v>
      </c>
      <c r="AG1125" s="3"/>
      <c r="AH1125" s="3"/>
    </row>
    <row r="1126" spans="1:34" x14ac:dyDescent="0.25">
      <c r="Y1126" s="709"/>
    </row>
    <row r="1128" spans="1:34" ht="16.899999999999999" customHeight="1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AG1128" s="3"/>
      <c r="AH1128" s="3"/>
    </row>
  </sheetData>
  <mergeCells count="13">
    <mergeCell ref="A9:T9"/>
    <mergeCell ref="X9:AC9"/>
    <mergeCell ref="A8:T8"/>
    <mergeCell ref="X8:AF8"/>
    <mergeCell ref="AD6:AF6"/>
    <mergeCell ref="AI205:AJ205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2025-08-27T14:57:33Z</cp:lastPrinted>
  <dcterms:created xsi:type="dcterms:W3CDTF">2001-09-21T11:20:50Z</dcterms:created>
  <dcterms:modified xsi:type="dcterms:W3CDTF">2025-09-11T07:12:06Z</dcterms:modified>
</cp:coreProperties>
</file>